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超售计算" sheetId="2" state="visible" r:id="rId2"/>
    <sheet xmlns:r="http://schemas.openxmlformats.org/officeDocument/2006/relationships" name="历史取消率" sheetId="3" state="visible" r:id="rId3"/>
    <sheet xmlns:r="http://schemas.openxmlformats.org/officeDocument/2006/relationships" name="团队询价决策" sheetId="4" state="visible" r:id="rId4"/>
    <sheet xmlns:r="http://schemas.openxmlformats.org/officeDocument/2006/relationships" name="会议综合贡献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00"/>
    <numFmt numFmtId="167" formatCode="#,##0.0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color rgb="001F2933"/>
      <sz val="10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b val="1"/>
      <color rgb="001F2933"/>
      <sz val="10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FF7D6"/>
        <bgColor rgb="00FFF7D6"/>
      </patternFill>
    </fill>
    <fill>
      <patternFill patternType="solid">
        <fgColor rgb="00F5EDE0"/>
        <bgColor rgb="00F5EDE0"/>
      </patternFill>
    </fill>
    <fill>
      <patternFill patternType="solid">
        <fgColor rgb="00EDEDED"/>
        <bgColor rgb="00EDEDED"/>
      </patternFill>
    </fill>
    <fill>
      <patternFill patternType="solid">
        <fgColor rgb="002C5282"/>
        <bgColor rgb="002C5282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0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8" fillId="3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left" vertical="center" wrapText="1"/>
    </xf>
    <xf numFmtId="167" fontId="5" fillId="3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D98324"/>
        <sz val="10"/>
      </font>
      <fill>
        <patternFill patternType="solid">
          <fgColor rgb="00FCEFD9"/>
          <bgColor rgb="00FC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08 · 超额预订计算器 ｜ 使用说明</t>
        </is>
      </c>
    </row>
    <row r="2" ht="26" customHeight="1">
      <c r="A2" s="2" t="inlineStr">
        <is>
          <t>超售不是赌运气，是把历史的取消率算清楚之后的一次有把握的冒险。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对应课程 M07《库存与限制条件战术》与 M10《客源细分战略》，实现《法典》表 E、表 G、表 K 三张表。</t>
        </is>
      </c>
    </row>
    <row r="5" ht="18" customHeight="1">
      <c r="A5" s="4" t="inlineStr">
        <is>
          <t>「超售计算」页：输入 No-show 率与 24h 取消率，自动查表 E 得基准超售率，乘四个修正系数，再过两道硬上限，输出最终超售间数。</t>
        </is>
      </c>
    </row>
    <row r="6" ht="18" customHeight="1">
      <c r="A6" s="4" t="inlineStr">
        <is>
          <t>「历史取消率」页：30 天历史，自动算出近 30 天平均 No-show 率与取消率，是超售参数的来源。</t>
        </is>
      </c>
    </row>
    <row r="7" ht="18" customHeight="1">
      <c r="A7" s="4" t="inlineStr">
        <is>
          <t>「团队询价决策」页：输入团队报价与预期散客 ADR，自动算比率 R 并查表 G 的 5×3 矩阵，输出决策与可接受上限。</t>
        </is>
      </c>
    </row>
    <row r="8" ht="18" customHeight="1">
      <c r="A8" s="4" t="inlineStr">
        <is>
          <t>「会议综合贡献」页：算会议的综合贡献，对照表 K 的接受底线，输出是否接受与是否需要 L3 审批。</t>
        </is>
      </c>
    </row>
    <row r="10" ht="22" customHeight="1">
      <c r="A10" s="3" t="inlineStr">
        <is>
          <t>二、填色规则</t>
        </is>
      </c>
    </row>
    <row r="11" ht="20" customHeight="1">
      <c r="A11" s="5" t="inlineStr"/>
      <c r="B11" s="6" t="inlineStr">
        <is>
          <t>输入区</t>
        </is>
      </c>
      <c r="C11" s="7" t="inlineStr">
        <is>
          <t>浅黄底 + 边框</t>
        </is>
      </c>
      <c r="D11" s="8" t="inlineStr">
        <is>
          <t>由学员填写，例如日期、房晚、价格</t>
        </is>
      </c>
    </row>
    <row r="12" ht="20" customHeight="1">
      <c r="A12" s="9" t="inlineStr"/>
      <c r="B12" s="6" t="inlineStr">
        <is>
          <t>公式区</t>
        </is>
      </c>
      <c r="C12" s="7" t="inlineStr">
        <is>
          <t>白底 + 边框</t>
        </is>
      </c>
      <c r="D12" s="8" t="inlineStr">
        <is>
          <t>已预置 Excel 公式，改动会导致结果错误，请勿手改</t>
        </is>
      </c>
    </row>
    <row r="13" ht="20" customHeight="1">
      <c r="A13" s="10" t="inlineStr"/>
      <c r="B13" s="6" t="inlineStr">
        <is>
          <t>参考区</t>
        </is>
      </c>
      <c r="C13" s="7" t="inlineStr">
        <is>
          <t>灰底 + 斜体</t>
        </is>
      </c>
      <c r="D13" s="8" t="inlineStr">
        <is>
          <t>SPEC 固定参数/判定表，一般不需要改动</t>
        </is>
      </c>
    </row>
    <row r="14" ht="20" customHeight="1">
      <c r="A14" s="11" t="inlineStr"/>
      <c r="B14" s="6" t="inlineStr">
        <is>
          <t>标题行</t>
        </is>
      </c>
      <c r="C14" s="7" t="inlineStr">
        <is>
          <t>深蓝底白字</t>
        </is>
      </c>
      <c r="D14" s="8" t="inlineStr">
        <is>
          <t>字段名，冻结在首行</t>
        </is>
      </c>
    </row>
    <row r="16" ht="22" customHeight="1">
      <c r="A16" s="3" t="inlineStr">
        <is>
          <t>三、字段字典</t>
        </is>
      </c>
    </row>
    <row r="17" ht="32" customHeight="1">
      <c r="A17" s="12" t="inlineStr">
        <is>
          <t>列</t>
        </is>
      </c>
      <c r="B17" s="12" t="inlineStr">
        <is>
          <t>字段名称</t>
        </is>
      </c>
      <c r="C17" s="12" t="inlineStr">
        <is>
          <t>类型</t>
        </is>
      </c>
      <c r="D17" s="12" t="inlineStr">
        <is>
          <t>口径 / 预置公式</t>
        </is>
      </c>
      <c r="E17" s="12" t="inlineStr">
        <is>
          <t>说明</t>
        </is>
      </c>
    </row>
    <row r="18" ht="20" customHeight="1">
      <c r="A18" s="13" t="inlineStr">
        <is>
          <t>超售 B-E</t>
        </is>
      </c>
      <c r="B18" s="6" t="inlineStr">
        <is>
          <t>可售房量 / 两个率</t>
        </is>
      </c>
      <c r="C18" s="5" t="inlineStr">
        <is>
          <t>输入</t>
        </is>
      </c>
      <c r="D18" s="14" t="inlineStr">
        <is>
          <t>—</t>
        </is>
      </c>
      <c r="E18" s="15" t="inlineStr">
        <is>
          <t>合计率＝No-show 率 + 24h 取消率</t>
        </is>
      </c>
    </row>
    <row r="19" ht="20" customHeight="1">
      <c r="A19" s="13" t="inlineStr">
        <is>
          <t>超售 F</t>
        </is>
      </c>
      <c r="B19" s="6" t="inlineStr">
        <is>
          <t>基准超售率</t>
        </is>
      </c>
      <c r="C19" s="9" t="inlineStr">
        <is>
          <t>公式</t>
        </is>
      </c>
      <c r="D19" s="14" t="inlineStr">
        <is>
          <t>表 E 第一步六档</t>
        </is>
      </c>
      <c r="E19" s="15" t="inlineStr">
        <is>
          <t>&lt;5%→0；5-10%→2%；10-15%→3%；15-20%→5%；20-30%→7%；&gt;30%→10%</t>
        </is>
      </c>
    </row>
    <row r="20" ht="20" customHeight="1">
      <c r="A20" s="13" t="inlineStr">
        <is>
          <t>超售 G-L</t>
        </is>
      </c>
      <c r="B20" s="6" t="inlineStr">
        <is>
          <t>四个修正条件</t>
        </is>
      </c>
      <c r="C20" s="5" t="inlineStr">
        <is>
          <t>输入</t>
        </is>
      </c>
      <c r="D20" s="14" t="inlineStr">
        <is>
          <t>D1/D2 日、担保占比&gt;60%、会议&gt;40%、协议&gt;50%</t>
        </is>
      </c>
      <c r="E20" s="15" t="inlineStr">
        <is>
          <t>连乘：0.5 / 0.5 / 0.5 / 0.8</t>
        </is>
      </c>
    </row>
    <row r="21" ht="20" customHeight="1">
      <c r="A21" s="13" t="inlineStr">
        <is>
          <t>超售 M</t>
        </is>
      </c>
      <c r="B21" s="6" t="inlineStr">
        <is>
          <t>修正后超售率</t>
        </is>
      </c>
      <c r="C21" s="9" t="inlineStr">
        <is>
          <t>公式</t>
        </is>
      </c>
      <c r="D21" s="14">
        <f> 基准 × 修正系数 ×（无备用酒店则 ×0.5）</f>
        <v/>
      </c>
      <c r="E21" s="15" t="inlineStr"/>
    </row>
    <row r="22" ht="20" customHeight="1">
      <c r="A22" s="13" t="inlineStr">
        <is>
          <t>超售 N-P</t>
        </is>
      </c>
      <c r="B22" s="6" t="inlineStr">
        <is>
          <t>超售间数</t>
        </is>
      </c>
      <c r="C22" s="9" t="inlineStr">
        <is>
          <t>公式</t>
        </is>
      </c>
      <c r="D22" s="14">
        <f> FLOOR(可售 × 率,1)，再 MIN(≤可售5%, ≤15)</f>
        <v/>
      </c>
      <c r="E22" s="15" t="inlineStr">
        <is>
          <t>表 E 第三步硬上限</t>
        </is>
      </c>
    </row>
    <row r="23" ht="20" customHeight="1">
      <c r="A23" s="13" t="inlineStr">
        <is>
          <t>超售 Q</t>
        </is>
      </c>
      <c r="B23" s="6" t="inlineStr">
        <is>
          <t>L3 审批</t>
        </is>
      </c>
      <c r="C23" s="9" t="inlineStr">
        <is>
          <t>公式</t>
        </is>
      </c>
      <c r="D23" s="14" t="inlineStr">
        <is>
          <t>基准率 10% 或 ≥10 间 → 是</t>
        </is>
      </c>
      <c r="E23" s="15" t="inlineStr"/>
    </row>
    <row r="24" ht="20" customHeight="1">
      <c r="A24" s="13" t="inlineStr">
        <is>
          <t>团队 G</t>
        </is>
      </c>
      <c r="B24" s="6" t="inlineStr">
        <is>
          <t>比率 R</t>
        </is>
      </c>
      <c r="C24" s="9" t="inlineStr">
        <is>
          <t>公式</t>
        </is>
      </c>
      <c r="D24" s="14">
        <f> 团队报价 ÷ 预期散客 ADR</f>
        <v/>
      </c>
      <c r="E24" s="15" t="inlineStr">
        <is>
          <t>表 G 输入 1</t>
        </is>
      </c>
    </row>
    <row r="25" ht="20" customHeight="1">
      <c r="A25" s="13" t="inlineStr">
        <is>
          <t>团队 J-K</t>
        </is>
      </c>
      <c r="B25" s="6" t="inlineStr">
        <is>
          <t>决策 / 上限</t>
        </is>
      </c>
      <c r="C25" s="9" t="inlineStr">
        <is>
          <t>公式</t>
        </is>
      </c>
      <c r="D25" s="14" t="inlineStr">
        <is>
          <t>嵌套 IF 实现 5×3 矩阵</t>
        </is>
      </c>
      <c r="E25" s="15" t="inlineStr">
        <is>
          <t>接受 / 限额接受 / 上报 L3 / 拒绝</t>
        </is>
      </c>
    </row>
    <row r="26" ht="20" customHeight="1">
      <c r="A26" s="13" t="inlineStr">
        <is>
          <t>团队 M</t>
        </is>
      </c>
      <c r="B26" s="6" t="inlineStr">
        <is>
          <t>置换成本</t>
        </is>
      </c>
      <c r="C26" s="9" t="inlineStr">
        <is>
          <t>公式</t>
        </is>
      </c>
      <c r="D26" s="14">
        <f> 团队间夜 ×（预期散客 ADR − 团队价）</f>
        <v/>
      </c>
      <c r="E26" s="15" t="inlineStr">
        <is>
          <t>供 L3 复核，未含餐饮边际</t>
        </is>
      </c>
    </row>
    <row r="27" ht="20" customHeight="1">
      <c r="A27" s="13" t="inlineStr">
        <is>
          <t>会议 L</t>
        </is>
      </c>
      <c r="B27" s="6" t="inlineStr">
        <is>
          <t>综合贡献</t>
        </is>
      </c>
      <c r="C27" s="9" t="inlineStr">
        <is>
          <t>公式</t>
        </is>
      </c>
      <c r="D27" s="14">
        <f> 客房 + 餐饮 + 会场租金 + 其他</f>
        <v/>
      </c>
      <c r="E27" s="15" t="inlineStr">
        <is>
          <t>表 G 附加条款</t>
        </is>
      </c>
    </row>
    <row r="28" ht="20" customHeight="1">
      <c r="A28" s="13" t="inlineStr">
        <is>
          <t>会议 N-P</t>
        </is>
      </c>
      <c r="B28" s="6" t="inlineStr">
        <is>
          <t>置换成本 / 底线</t>
        </is>
      </c>
      <c r="C28" s="9" t="inlineStr">
        <is>
          <t>公式</t>
        </is>
      </c>
      <c r="D28" s="14">
        <f> 占用房晚 × 预期散客 ADR × 表 K 系数</f>
        <v/>
      </c>
      <c r="E28" s="15" t="inlineStr">
        <is>
          <t>小型 1.1 / 中型 1.0 / 大型 0.95 / 超大型 0.9</t>
        </is>
      </c>
    </row>
    <row r="29" ht="20" customHeight="1">
      <c r="A29" s="13" t="inlineStr">
        <is>
          <t>会议 T-U</t>
        </is>
      </c>
      <c r="B29" s="6" t="inlineStr">
        <is>
          <t>建议 / L3 审批</t>
        </is>
      </c>
      <c r="C29" s="9" t="inlineStr">
        <is>
          <t>公式</t>
        </is>
      </c>
      <c r="D29" s="14" t="inlineStr">
        <is>
          <t>综合贡献 vs 底线 + 餐饮毛利率 &lt;55% 红线</t>
        </is>
      </c>
      <c r="E29" s="15" t="inlineStr"/>
    </row>
    <row r="31" ht="22" customHeight="1">
      <c r="A31" s="3" t="inlineStr">
        <is>
          <t>四、使用步骤</t>
        </is>
      </c>
    </row>
    <row r="32" ht="20" customHeight="1">
      <c r="A32" s="16" t="n">
        <v>1</v>
      </c>
      <c r="B32" s="8" t="inlineStr">
        <is>
          <t>先在「历史取消率」页填 30 天的预订数、No-show 数、24h 取消数，读底部「近 30 天平均」的合计率。</t>
        </is>
      </c>
    </row>
    <row r="33" ht="20" customHeight="1">
      <c r="A33" s="16" t="n">
        <v>2</v>
      </c>
      <c r="B33" s="8" t="inlineStr">
        <is>
          <t>把合计率抄到「超售计算」页的 C、D 列（或直接分拆填入），填可售房量与四个修正条件、备用酒店情况。</t>
        </is>
      </c>
    </row>
    <row r="34" ht="20" customHeight="1">
      <c r="A34" s="16" t="n">
        <v>3</v>
      </c>
      <c r="B34" s="8" t="inlineStr">
        <is>
          <t>读 P 列最终超售间数；Q 列显示「是」的须报 L3 审批后方可执行。</t>
        </is>
      </c>
    </row>
    <row r="35" ht="20" customHeight="1">
      <c r="A35" s="16" t="n">
        <v>4</v>
      </c>
      <c r="B35" s="8" t="inlineStr">
        <is>
          <t>团队询价来了：在「团队询价决策」页填报价、预期散客 ADR、间夜、目标日预测 OCC，读 J 列决策与 K 列可接受上限。</t>
        </is>
      </c>
    </row>
    <row r="36" ht="20" customHeight="1">
      <c r="A36" s="16" t="n">
        <v>5</v>
      </c>
      <c r="B36" s="8" t="inlineStr">
        <is>
          <t>若 J 列为「拒绝」但客户是会议团队，转「会议综合贡献」页算综合贡献；达标则即使 R&lt;55% 也可接受，但须 L3 审批。</t>
        </is>
      </c>
    </row>
    <row r="37" ht="20" customHeight="1">
      <c r="A37" s="16" t="n">
        <v>6</v>
      </c>
      <c r="B37" s="8" t="inlineStr">
        <is>
          <t>所有超售与团队决策须写入 04 号《调价台账》（触发判定表选「表E」或「表G」）。</t>
        </is>
      </c>
    </row>
    <row r="39" ht="22" customHeight="1">
      <c r="A39" s="3" t="inlineStr">
        <is>
          <t>五、关联《收益管理操作法典》</t>
        </is>
      </c>
    </row>
    <row r="40" ht="18" customHeight="1">
      <c r="A40" s="4" t="inlineStr">
        <is>
          <t>表 E · 超额预订标准表 —— 三步法已用公式完整实现，并内嵌原文作参考。</t>
        </is>
      </c>
    </row>
    <row r="41" ht="18" customHeight="1">
      <c r="A41" s="4" t="inlineStr">
        <is>
          <t>表 G · 团队/协议询价接受判定表 —— 5×3 矩阵用嵌套 IF 实现，另附置换成本公式。</t>
        </is>
      </c>
    </row>
    <row r="42" ht="18" customHeight="1">
      <c r="A42" s="4" t="inlineStr">
        <is>
          <t>表 K · 会议/宴会综合收益联动表 —— 参数块内嵌，接受底线 = 客房置换成本 × 规模系数。</t>
        </is>
      </c>
    </row>
    <row r="43" ht="18" customHeight="1">
      <c r="A43" s="4" t="inlineStr">
        <is>
          <t>表 L · 异常事件应急 —— 超售过度（到店无房）时启动《步行客人预案》四条补偿包。</t>
        </is>
      </c>
    </row>
    <row r="44" ht="18" customHeight="1">
      <c r="A44" s="4" t="inlineStr">
        <is>
          <t>表 O · 决策优先级 —— 表 E（库存安全）优先级 2，高于表 A（价格）。</t>
        </is>
      </c>
    </row>
    <row r="46" ht="18" customHeight="1">
      <c r="A46" s="17" t="inlineStr">
        <is>
          <t>杭州滨江云璟酒店 · 320 间房 · 中高端全服务 ｜ 酒店收益管理学院 HRMA ｜ 口径以 SPEC.md 为准</t>
        </is>
      </c>
    </row>
  </sheetData>
  <mergeCells count="28">
    <mergeCell ref="A39:E39"/>
    <mergeCell ref="B37:E37"/>
    <mergeCell ref="B33:E33"/>
    <mergeCell ref="A1:E1"/>
    <mergeCell ref="A6:E6"/>
    <mergeCell ref="B36:E36"/>
    <mergeCell ref="B32:E32"/>
    <mergeCell ref="B35:E35"/>
    <mergeCell ref="A16:E16"/>
    <mergeCell ref="A7:E7"/>
    <mergeCell ref="D11:E11"/>
    <mergeCell ref="D13:E13"/>
    <mergeCell ref="A41:E41"/>
    <mergeCell ref="A46:E46"/>
    <mergeCell ref="A3:E3"/>
    <mergeCell ref="A2:E2"/>
    <mergeCell ref="A42:E42"/>
    <mergeCell ref="A5:E5"/>
    <mergeCell ref="A8:E8"/>
    <mergeCell ref="D12:E12"/>
    <mergeCell ref="A4:E4"/>
    <mergeCell ref="A43:E43"/>
    <mergeCell ref="A10:E10"/>
    <mergeCell ref="A40:E40"/>
    <mergeCell ref="D14:E14"/>
    <mergeCell ref="B34:E34"/>
    <mergeCell ref="A44:E44"/>
    <mergeCell ref="A31:E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1" customWidth="1" min="10" max="10"/>
    <col width="12" customWidth="1" min="11" max="11"/>
    <col width="10" customWidth="1" min="12" max="12"/>
    <col width="11" customWidth="1" min="13" max="13"/>
    <col width="11" customWidth="1" min="14" max="14"/>
    <col width="9" customWidth="1" min="15" max="15"/>
    <col width="11" customWidth="1" min="16" max="16"/>
    <col width="10" customWidth="1" min="17" max="17"/>
    <col width="28" customWidth="1" min="18" max="18"/>
  </cols>
  <sheetData>
    <row r="1" ht="30" customHeight="1">
      <c r="A1" s="1" t="inlineStr">
        <is>
          <t>超额预订计算器 ·《法典》表 E 全自动</t>
        </is>
      </c>
    </row>
    <row r="2" ht="26" customHeight="1">
      <c r="A2" s="2" t="inlineStr">
        <is>
          <t>输入：可售房量、No-show 率、24h 取消率、四个修正条件、备用酒店。输出：最终超售间数与是否需要 L3 审批。</t>
        </is>
      </c>
    </row>
    <row r="3" ht="40" customHeight="1">
      <c r="A3" s="12" t="inlineStr">
        <is>
          <t>目标日期</t>
        </is>
      </c>
      <c r="B3" s="12" t="inlineStr">
        <is>
          <t>可售房量</t>
        </is>
      </c>
      <c r="C3" s="12" t="inlineStr">
        <is>
          <t>近30天
No-show率</t>
        </is>
      </c>
      <c r="D3" s="12" t="inlineStr">
        <is>
          <t>24h内
取消率</t>
        </is>
      </c>
      <c r="E3" s="12" t="inlineStr">
        <is>
          <t>合计率</t>
        </is>
      </c>
      <c r="F3" s="12" t="inlineStr">
        <is>
          <t>基准
超售率</t>
        </is>
      </c>
      <c r="G3" s="12" t="inlineStr">
        <is>
          <t>D1/D2
日?</t>
        </is>
      </c>
      <c r="H3" s="12" t="inlineStr">
        <is>
          <t>担保预订
占比</t>
        </is>
      </c>
      <c r="I3" s="12" t="inlineStr">
        <is>
          <t>会议团队
占比</t>
        </is>
      </c>
      <c r="J3" s="12" t="inlineStr">
        <is>
          <t>协议客户
集中度</t>
        </is>
      </c>
      <c r="K3" s="12" t="inlineStr">
        <is>
          <t>30min内
备用酒店</t>
        </is>
      </c>
      <c r="L3" s="12" t="inlineStr">
        <is>
          <t>修正系数</t>
        </is>
      </c>
      <c r="M3" s="12" t="inlineStr">
        <is>
          <t>修正后
超售率</t>
        </is>
      </c>
      <c r="N3" s="12" t="inlineStr">
        <is>
          <t>理论
超售间数</t>
        </is>
      </c>
      <c r="O3" s="12" t="inlineStr">
        <is>
          <t>硬上限</t>
        </is>
      </c>
      <c r="P3" s="12" t="inlineStr">
        <is>
          <t>最终
超售间数</t>
        </is>
      </c>
      <c r="Q3" s="12" t="inlineStr">
        <is>
          <t>L3审批</t>
        </is>
      </c>
      <c r="R3" s="12" t="inlineStr">
        <is>
          <t>备注</t>
        </is>
      </c>
    </row>
    <row r="4">
      <c r="A4" s="18" t="n">
        <v>46082</v>
      </c>
      <c r="B4" s="19" t="n">
        <v>320</v>
      </c>
      <c r="C4" s="20" t="n">
        <v>0.0373</v>
      </c>
      <c r="D4" s="20" t="n">
        <v>0.1305</v>
      </c>
      <c r="E4" s="21">
        <f>IFERROR($C4+$D4,"")</f>
        <v/>
      </c>
      <c r="F4" s="21">
        <f>IF($E4="","",IF($E4&lt;0.05,0,IF($E4&lt;0.1,0.02,IF($E4&lt;0.15,0.03,IF($E4&lt;0.2,0.05,IF($E4&lt;=0.3,0.07,0.1))))))</f>
        <v/>
      </c>
      <c r="G4" s="5" t="inlineStr">
        <is>
          <t>否</t>
        </is>
      </c>
      <c r="H4" s="20" t="n">
        <v>0.735</v>
      </c>
      <c r="I4" s="20" t="n">
        <v>0.129</v>
      </c>
      <c r="J4" s="20" t="n">
        <v>0.334</v>
      </c>
      <c r="K4" s="5" t="inlineStr">
        <is>
          <t>有</t>
        </is>
      </c>
      <c r="L4" s="22">
        <f>IF($E4="","",IF($G4="是",0.5,1)*IF($H4&gt;0.6,0.5,1)*IF($I4&gt;0.4,0.5,1)*IF($J4&gt;0.5,0.8,1))</f>
        <v/>
      </c>
      <c r="M4" s="23">
        <f>IFERROR($F4*$L4*IF($K4="无",0.5,1),"")</f>
        <v/>
      </c>
      <c r="N4" s="24">
        <f>IFERROR(FLOOR($B4*$M4,1),"")</f>
        <v/>
      </c>
      <c r="O4" s="24">
        <f>IFERROR(MIN(FLOOR($B4*0.05,1),15),"")</f>
        <v/>
      </c>
      <c r="P4" s="24">
        <f>IFERROR(MIN($N4,$O4),"")</f>
        <v/>
      </c>
      <c r="Q4" s="6">
        <f>IF($P4="","",IF($F4&gt;=0.1,"是（基准率 10%，须 L3 审批）",IF($P4&gt;=10,"是（≥10 间，须 L3 审批）","否")))</f>
        <v/>
      </c>
      <c r="R4" s="25" t="n"/>
    </row>
    <row r="5">
      <c r="A5" s="18" t="n">
        <v>46083</v>
      </c>
      <c r="B5" s="19" t="n">
        <v>320</v>
      </c>
      <c r="C5" s="20" t="n">
        <v>0.0694</v>
      </c>
      <c r="D5" s="20" t="n">
        <v>0.1069</v>
      </c>
      <c r="E5" s="21">
        <f>IFERROR($C5+$D5,"")</f>
        <v/>
      </c>
      <c r="F5" s="21">
        <f>IF($E5="","",IF($E5&lt;0.05,0,IF($E5&lt;0.1,0.02,IF($E5&lt;0.15,0.03,IF($E5&lt;0.2,0.05,IF($E5&lt;=0.3,0.07,0.1))))))</f>
        <v/>
      </c>
      <c r="G5" s="5" t="inlineStr">
        <is>
          <t>否</t>
        </is>
      </c>
      <c r="H5" s="20" t="n">
        <v>0.525</v>
      </c>
      <c r="I5" s="20" t="n">
        <v>0.442</v>
      </c>
      <c r="J5" s="20" t="n">
        <v>0.364</v>
      </c>
      <c r="K5" s="5" t="inlineStr">
        <is>
          <t>有</t>
        </is>
      </c>
      <c r="L5" s="22">
        <f>IF($E5="","",IF($G5="是",0.5,1)*IF($H5&gt;0.6,0.5,1)*IF($I5&gt;0.4,0.5,1)*IF($J5&gt;0.5,0.8,1))</f>
        <v/>
      </c>
      <c r="M5" s="23">
        <f>IFERROR($F5*$L5*IF($K5="无",0.5,1),"")</f>
        <v/>
      </c>
      <c r="N5" s="24">
        <f>IFERROR(FLOOR($B5*$M5,1),"")</f>
        <v/>
      </c>
      <c r="O5" s="24">
        <f>IFERROR(MIN(FLOOR($B5*0.05,1),15),"")</f>
        <v/>
      </c>
      <c r="P5" s="24">
        <f>IFERROR(MIN($N5,$O5),"")</f>
        <v/>
      </c>
      <c r="Q5" s="6">
        <f>IF($P5="","",IF($F5&gt;=0.1,"是（基准率 10%，须 L3 审批）",IF($P5&gt;=10,"是（≥10 间，须 L3 审批）","否")))</f>
        <v/>
      </c>
      <c r="R5" s="25" t="n"/>
    </row>
    <row r="6">
      <c r="A6" s="18" t="n">
        <v>46084</v>
      </c>
      <c r="B6" s="19" t="n">
        <v>320</v>
      </c>
      <c r="C6" s="20" t="n">
        <v>0.0548</v>
      </c>
      <c r="D6" s="20" t="n">
        <v>0.0451</v>
      </c>
      <c r="E6" s="21">
        <f>IFERROR($C6+$D6,"")</f>
        <v/>
      </c>
      <c r="F6" s="21">
        <f>IF($E6="","",IF($E6&lt;0.05,0,IF($E6&lt;0.1,0.02,IF($E6&lt;0.15,0.03,IF($E6&lt;0.2,0.05,IF($E6&lt;=0.3,0.07,0.1))))))</f>
        <v/>
      </c>
      <c r="G6" s="5" t="inlineStr">
        <is>
          <t>否</t>
        </is>
      </c>
      <c r="H6" s="20" t="n">
        <v>0.306</v>
      </c>
      <c r="I6" s="20" t="n">
        <v>0.42</v>
      </c>
      <c r="J6" s="20" t="n">
        <v>0.446</v>
      </c>
      <c r="K6" s="5" t="inlineStr">
        <is>
          <t>有</t>
        </is>
      </c>
      <c r="L6" s="22">
        <f>IF($E6="","",IF($G6="是",0.5,1)*IF($H6&gt;0.6,0.5,1)*IF($I6&gt;0.4,0.5,1)*IF($J6&gt;0.5,0.8,1))</f>
        <v/>
      </c>
      <c r="M6" s="23">
        <f>IFERROR($F6*$L6*IF($K6="无",0.5,1),"")</f>
        <v/>
      </c>
      <c r="N6" s="24">
        <f>IFERROR(FLOOR($B6*$M6,1),"")</f>
        <v/>
      </c>
      <c r="O6" s="24">
        <f>IFERROR(MIN(FLOOR($B6*0.05,1),15),"")</f>
        <v/>
      </c>
      <c r="P6" s="24">
        <f>IFERROR(MIN($N6,$O6),"")</f>
        <v/>
      </c>
      <c r="Q6" s="6">
        <f>IF($P6="","",IF($F6&gt;=0.1,"是（基准率 10%，须 L3 审批）",IF($P6&gt;=10,"是（≥10 间，须 L3 审批）","否")))</f>
        <v/>
      </c>
      <c r="R6" s="25" t="n"/>
    </row>
    <row r="7">
      <c r="A7" s="18" t="n">
        <v>46085</v>
      </c>
      <c r="B7" s="19" t="n">
        <v>320</v>
      </c>
      <c r="C7" s="20" t="n">
        <v>0.0403</v>
      </c>
      <c r="D7" s="20" t="n">
        <v>0.1613</v>
      </c>
      <c r="E7" s="21">
        <f>IFERROR($C7+$D7,"")</f>
        <v/>
      </c>
      <c r="F7" s="21">
        <f>IF($E7="","",IF($E7&lt;0.05,0,IF($E7&lt;0.1,0.02,IF($E7&lt;0.15,0.03,IF($E7&lt;0.2,0.05,IF($E7&lt;=0.3,0.07,0.1))))))</f>
        <v/>
      </c>
      <c r="G7" s="5" t="inlineStr">
        <is>
          <t>否</t>
        </is>
      </c>
      <c r="H7" s="20" t="n">
        <v>0.411</v>
      </c>
      <c r="I7" s="20" t="n">
        <v>0.204</v>
      </c>
      <c r="J7" s="20" t="n">
        <v>0.678</v>
      </c>
      <c r="K7" s="5" t="inlineStr">
        <is>
          <t>有</t>
        </is>
      </c>
      <c r="L7" s="22">
        <f>IF($E7="","",IF($G7="是",0.5,1)*IF($H7&gt;0.6,0.5,1)*IF($I7&gt;0.4,0.5,1)*IF($J7&gt;0.5,0.8,1))</f>
        <v/>
      </c>
      <c r="M7" s="23">
        <f>IFERROR($F7*$L7*IF($K7="无",0.5,1),"")</f>
        <v/>
      </c>
      <c r="N7" s="24">
        <f>IFERROR(FLOOR($B7*$M7,1),"")</f>
        <v/>
      </c>
      <c r="O7" s="24">
        <f>IFERROR(MIN(FLOOR($B7*0.05,1),15),"")</f>
        <v/>
      </c>
      <c r="P7" s="24">
        <f>IFERROR(MIN($N7,$O7),"")</f>
        <v/>
      </c>
      <c r="Q7" s="6">
        <f>IF($P7="","",IF($F7&gt;=0.1,"是（基准率 10%，须 L3 审批）",IF($P7&gt;=10,"是（≥10 间，须 L3 审批）","否")))</f>
        <v/>
      </c>
      <c r="R7" s="25" t="n"/>
    </row>
    <row r="8">
      <c r="A8" s="18" t="n">
        <v>46086</v>
      </c>
      <c r="B8" s="19" t="n">
        <v>320</v>
      </c>
      <c r="C8" s="20" t="n">
        <v>0.103</v>
      </c>
      <c r="D8" s="20" t="n">
        <v>0.0212</v>
      </c>
      <c r="E8" s="21">
        <f>IFERROR($C8+$D8,"")</f>
        <v/>
      </c>
      <c r="F8" s="21">
        <f>IF($E8="","",IF($E8&lt;0.05,0,IF($E8&lt;0.1,0.02,IF($E8&lt;0.15,0.03,IF($E8&lt;0.2,0.05,IF($E8&lt;=0.3,0.07,0.1))))))</f>
        <v/>
      </c>
      <c r="G8" s="5" t="inlineStr">
        <is>
          <t>是</t>
        </is>
      </c>
      <c r="H8" s="20" t="n">
        <v>0.339</v>
      </c>
      <c r="I8" s="20" t="n">
        <v>0.518</v>
      </c>
      <c r="J8" s="20" t="n">
        <v>0.422</v>
      </c>
      <c r="K8" s="5" t="inlineStr">
        <is>
          <t>有</t>
        </is>
      </c>
      <c r="L8" s="22">
        <f>IF($E8="","",IF($G8="是",0.5,1)*IF($H8&gt;0.6,0.5,1)*IF($I8&gt;0.4,0.5,1)*IF($J8&gt;0.5,0.8,1))</f>
        <v/>
      </c>
      <c r="M8" s="23">
        <f>IFERROR($F8*$L8*IF($K8="无",0.5,1),"")</f>
        <v/>
      </c>
      <c r="N8" s="24">
        <f>IFERROR(FLOOR($B8*$M8,1),"")</f>
        <v/>
      </c>
      <c r="O8" s="24">
        <f>IFERROR(MIN(FLOOR($B8*0.05,1),15),"")</f>
        <v/>
      </c>
      <c r="P8" s="24">
        <f>IFERROR(MIN($N8,$O8),"")</f>
        <v/>
      </c>
      <c r="Q8" s="6">
        <f>IF($P8="","",IF($F8&gt;=0.1,"是（基准率 10%，须 L3 审批）",IF($P8&gt;=10,"是（≥10 间，须 L3 审批）","否")))</f>
        <v/>
      </c>
      <c r="R8" s="25" t="n"/>
    </row>
    <row r="9">
      <c r="A9" s="18" t="n">
        <v>46087</v>
      </c>
      <c r="B9" s="19" t="n">
        <v>320</v>
      </c>
      <c r="C9" s="20" t="n">
        <v>0.0436</v>
      </c>
      <c r="D9" s="20" t="n">
        <v>0.0372</v>
      </c>
      <c r="E9" s="21">
        <f>IFERROR($C9+$D9,"")</f>
        <v/>
      </c>
      <c r="F9" s="21">
        <f>IF($E9="","",IF($E9&lt;0.05,0,IF($E9&lt;0.1,0.02,IF($E9&lt;0.15,0.03,IF($E9&lt;0.2,0.05,IF($E9&lt;=0.3,0.07,0.1))))))</f>
        <v/>
      </c>
      <c r="G9" s="5" t="inlineStr">
        <is>
          <t>是</t>
        </is>
      </c>
      <c r="H9" s="20" t="n">
        <v>0.702</v>
      </c>
      <c r="I9" s="20" t="n">
        <v>0.313</v>
      </c>
      <c r="J9" s="20" t="n">
        <v>0.628</v>
      </c>
      <c r="K9" s="5" t="inlineStr">
        <is>
          <t>有</t>
        </is>
      </c>
      <c r="L9" s="22">
        <f>IF($E9="","",IF($G9="是",0.5,1)*IF($H9&gt;0.6,0.5,1)*IF($I9&gt;0.4,0.5,1)*IF($J9&gt;0.5,0.8,1))</f>
        <v/>
      </c>
      <c r="M9" s="23">
        <f>IFERROR($F9*$L9*IF($K9="无",0.5,1),"")</f>
        <v/>
      </c>
      <c r="N9" s="24">
        <f>IFERROR(FLOOR($B9*$M9,1),"")</f>
        <v/>
      </c>
      <c r="O9" s="24">
        <f>IFERROR(MIN(FLOOR($B9*0.05,1),15),"")</f>
        <v/>
      </c>
      <c r="P9" s="24">
        <f>IFERROR(MIN($N9,$O9),"")</f>
        <v/>
      </c>
      <c r="Q9" s="6">
        <f>IF($P9="","",IF($F9&gt;=0.1,"是（基准率 10%，须 L3 审批）",IF($P9&gt;=10,"是（≥10 间，须 L3 审批）","否")))</f>
        <v/>
      </c>
      <c r="R9" s="25" t="n"/>
    </row>
    <row r="10">
      <c r="A10" s="18" t="n">
        <v>46088</v>
      </c>
      <c r="B10" s="19" t="n">
        <v>320</v>
      </c>
      <c r="C10" s="20" t="n">
        <v>0.0287</v>
      </c>
      <c r="D10" s="20" t="n">
        <v>0.1754</v>
      </c>
      <c r="E10" s="21">
        <f>IFERROR($C10+$D10,"")</f>
        <v/>
      </c>
      <c r="F10" s="21">
        <f>IF($E10="","",IF($E10&lt;0.05,0,IF($E10&lt;0.1,0.02,IF($E10&lt;0.15,0.03,IF($E10&lt;0.2,0.05,IF($E10&lt;=0.3,0.07,0.1))))))</f>
        <v/>
      </c>
      <c r="G10" s="5" t="inlineStr">
        <is>
          <t>否</t>
        </is>
      </c>
      <c r="H10" s="20" t="n">
        <v>0.341</v>
      </c>
      <c r="I10" s="20" t="n">
        <v>0.174</v>
      </c>
      <c r="J10" s="20" t="n">
        <v>0.364</v>
      </c>
      <c r="K10" s="5" t="inlineStr">
        <is>
          <t>有</t>
        </is>
      </c>
      <c r="L10" s="22">
        <f>IF($E10="","",IF($G10="是",0.5,1)*IF($H10&gt;0.6,0.5,1)*IF($I10&gt;0.4,0.5,1)*IF($J10&gt;0.5,0.8,1))</f>
        <v/>
      </c>
      <c r="M10" s="23">
        <f>IFERROR($F10*$L10*IF($K10="无",0.5,1),"")</f>
        <v/>
      </c>
      <c r="N10" s="24">
        <f>IFERROR(FLOOR($B10*$M10,1),"")</f>
        <v/>
      </c>
      <c r="O10" s="24">
        <f>IFERROR(MIN(FLOOR($B10*0.05,1),15),"")</f>
        <v/>
      </c>
      <c r="P10" s="24">
        <f>IFERROR(MIN($N10,$O10),"")</f>
        <v/>
      </c>
      <c r="Q10" s="6">
        <f>IF($P10="","",IF($F10&gt;=0.1,"是（基准率 10%，须 L3 审批）",IF($P10&gt;=10,"是（≥10 间，须 L3 审批）","否")))</f>
        <v/>
      </c>
      <c r="R10" s="25" t="n"/>
    </row>
    <row r="11">
      <c r="A11" s="18" t="n">
        <v>46089</v>
      </c>
      <c r="B11" s="19" t="n">
        <v>320</v>
      </c>
      <c r="C11" s="20" t="n">
        <v>0.1037</v>
      </c>
      <c r="D11" s="20" t="n">
        <v>0.1771</v>
      </c>
      <c r="E11" s="21">
        <f>IFERROR($C11+$D11,"")</f>
        <v/>
      </c>
      <c r="F11" s="21">
        <f>IF($E11="","",IF($E11&lt;0.05,0,IF($E11&lt;0.1,0.02,IF($E11&lt;0.15,0.03,IF($E11&lt;0.2,0.05,IF($E11&lt;=0.3,0.07,0.1))))))</f>
        <v/>
      </c>
      <c r="G11" s="5" t="inlineStr">
        <is>
          <t>否</t>
        </is>
      </c>
      <c r="H11" s="20" t="n">
        <v>0.404</v>
      </c>
      <c r="I11" s="20" t="n">
        <v>0.36</v>
      </c>
      <c r="J11" s="20" t="n">
        <v>0.537</v>
      </c>
      <c r="K11" s="5" t="inlineStr">
        <is>
          <t>有</t>
        </is>
      </c>
      <c r="L11" s="22">
        <f>IF($E11="","",IF($G11="是",0.5,1)*IF($H11&gt;0.6,0.5,1)*IF($I11&gt;0.4,0.5,1)*IF($J11&gt;0.5,0.8,1))</f>
        <v/>
      </c>
      <c r="M11" s="23">
        <f>IFERROR($F11*$L11*IF($K11="无",0.5,1),"")</f>
        <v/>
      </c>
      <c r="N11" s="24">
        <f>IFERROR(FLOOR($B11*$M11,1),"")</f>
        <v/>
      </c>
      <c r="O11" s="24">
        <f>IFERROR(MIN(FLOOR($B11*0.05,1),15),"")</f>
        <v/>
      </c>
      <c r="P11" s="24">
        <f>IFERROR(MIN($N11,$O11),"")</f>
        <v/>
      </c>
      <c r="Q11" s="6">
        <f>IF($P11="","",IF($F11&gt;=0.1,"是（基准率 10%，须 L3 审批）",IF($P11&gt;=10,"是（≥10 间，须 L3 审批）","否")))</f>
        <v/>
      </c>
      <c r="R11" s="25" t="n"/>
    </row>
    <row r="12">
      <c r="A12" s="18" t="n">
        <v>46090</v>
      </c>
      <c r="B12" s="19" t="n">
        <v>320</v>
      </c>
      <c r="C12" s="20" t="n">
        <v>0.0202</v>
      </c>
      <c r="D12" s="20" t="n">
        <v>0.1017</v>
      </c>
      <c r="E12" s="21">
        <f>IFERROR($C12+$D12,"")</f>
        <v/>
      </c>
      <c r="F12" s="21">
        <f>IF($E12="","",IF($E12&lt;0.05,0,IF($E12&lt;0.1,0.02,IF($E12&lt;0.15,0.03,IF($E12&lt;0.2,0.05,IF($E12&lt;=0.3,0.07,0.1))))))</f>
        <v/>
      </c>
      <c r="G12" s="5" t="inlineStr">
        <is>
          <t>否</t>
        </is>
      </c>
      <c r="H12" s="20" t="n">
        <v>0.669</v>
      </c>
      <c r="I12" s="20" t="n">
        <v>0.227</v>
      </c>
      <c r="J12" s="20" t="n">
        <v>0.351</v>
      </c>
      <c r="K12" s="5" t="inlineStr">
        <is>
          <t>有</t>
        </is>
      </c>
      <c r="L12" s="22">
        <f>IF($E12="","",IF($G12="是",0.5,1)*IF($H12&gt;0.6,0.5,1)*IF($I12&gt;0.4,0.5,1)*IF($J12&gt;0.5,0.8,1))</f>
        <v/>
      </c>
      <c r="M12" s="23">
        <f>IFERROR($F12*$L12*IF($K12="无",0.5,1),"")</f>
        <v/>
      </c>
      <c r="N12" s="24">
        <f>IFERROR(FLOOR($B12*$M12,1),"")</f>
        <v/>
      </c>
      <c r="O12" s="24">
        <f>IFERROR(MIN(FLOOR($B12*0.05,1),15),"")</f>
        <v/>
      </c>
      <c r="P12" s="24">
        <f>IFERROR(MIN($N12,$O12),"")</f>
        <v/>
      </c>
      <c r="Q12" s="6">
        <f>IF($P12="","",IF($F12&gt;=0.1,"是（基准率 10%，须 L3 审批）",IF($P12&gt;=10,"是（≥10 间，须 L3 审批）","否")))</f>
        <v/>
      </c>
      <c r="R12" s="25" t="n"/>
    </row>
    <row r="13">
      <c r="A13" s="18" t="n">
        <v>46091</v>
      </c>
      <c r="B13" s="19" t="n">
        <v>320</v>
      </c>
      <c r="C13" s="20" t="n">
        <v>0.1008</v>
      </c>
      <c r="D13" s="20" t="n">
        <v>0.1068</v>
      </c>
      <c r="E13" s="21">
        <f>IFERROR($C13+$D13,"")</f>
        <v/>
      </c>
      <c r="F13" s="21">
        <f>IF($E13="","",IF($E13&lt;0.05,0,IF($E13&lt;0.1,0.02,IF($E13&lt;0.15,0.03,IF($E13&lt;0.2,0.05,IF($E13&lt;=0.3,0.07,0.1))))))</f>
        <v/>
      </c>
      <c r="G13" s="5" t="inlineStr">
        <is>
          <t>否</t>
        </is>
      </c>
      <c r="H13" s="20" t="n">
        <v>0.382</v>
      </c>
      <c r="I13" s="20" t="n">
        <v>0.119</v>
      </c>
      <c r="J13" s="20" t="n">
        <v>0.28</v>
      </c>
      <c r="K13" s="5" t="inlineStr">
        <is>
          <t>有</t>
        </is>
      </c>
      <c r="L13" s="22">
        <f>IF($E13="","",IF($G13="是",0.5,1)*IF($H13&gt;0.6,0.5,1)*IF($I13&gt;0.4,0.5,1)*IF($J13&gt;0.5,0.8,1))</f>
        <v/>
      </c>
      <c r="M13" s="23">
        <f>IFERROR($F13*$L13*IF($K13="无",0.5,1),"")</f>
        <v/>
      </c>
      <c r="N13" s="24">
        <f>IFERROR(FLOOR($B13*$M13,1),"")</f>
        <v/>
      </c>
      <c r="O13" s="24">
        <f>IFERROR(MIN(FLOOR($B13*0.05,1),15),"")</f>
        <v/>
      </c>
      <c r="P13" s="24">
        <f>IFERROR(MIN($N13,$O13),"")</f>
        <v/>
      </c>
      <c r="Q13" s="6">
        <f>IF($P13="","",IF($F13&gt;=0.1,"是（基准率 10%，须 L3 审批）",IF($P13&gt;=10,"是（≥10 间，须 L3 审批）","否")))</f>
        <v/>
      </c>
      <c r="R13" s="25" t="n"/>
    </row>
    <row r="14">
      <c r="A14" s="18" t="n">
        <v>46092</v>
      </c>
      <c r="B14" s="19" t="n">
        <v>320</v>
      </c>
      <c r="C14" s="20" t="n">
        <v>0.0696</v>
      </c>
      <c r="D14" s="20" t="n">
        <v>0.0286</v>
      </c>
      <c r="E14" s="21">
        <f>IFERROR($C14+$D14,"")</f>
        <v/>
      </c>
      <c r="F14" s="21">
        <f>IF($E14="","",IF($E14&lt;0.05,0,IF($E14&lt;0.1,0.02,IF($E14&lt;0.15,0.03,IF($E14&lt;0.2,0.05,IF($E14&lt;=0.3,0.07,0.1))))))</f>
        <v/>
      </c>
      <c r="G14" s="5" t="inlineStr">
        <is>
          <t>否</t>
        </is>
      </c>
      <c r="H14" s="20" t="n">
        <v>0.417</v>
      </c>
      <c r="I14" s="20" t="n">
        <v>0.365</v>
      </c>
      <c r="J14" s="20" t="n">
        <v>0.5610000000000001</v>
      </c>
      <c r="K14" s="5" t="inlineStr">
        <is>
          <t>有</t>
        </is>
      </c>
      <c r="L14" s="22">
        <f>IF($E14="","",IF($G14="是",0.5,1)*IF($H14&gt;0.6,0.5,1)*IF($I14&gt;0.4,0.5,1)*IF($J14&gt;0.5,0.8,1))</f>
        <v/>
      </c>
      <c r="M14" s="23">
        <f>IFERROR($F14*$L14*IF($K14="无",0.5,1),"")</f>
        <v/>
      </c>
      <c r="N14" s="24">
        <f>IFERROR(FLOOR($B14*$M14,1),"")</f>
        <v/>
      </c>
      <c r="O14" s="24">
        <f>IFERROR(MIN(FLOOR($B14*0.05,1),15),"")</f>
        <v/>
      </c>
      <c r="P14" s="24">
        <f>IFERROR(MIN($N14,$O14),"")</f>
        <v/>
      </c>
      <c r="Q14" s="6">
        <f>IF($P14="","",IF($F14&gt;=0.1,"是（基准率 10%，须 L3 审批）",IF($P14&gt;=10,"是（≥10 间，须 L3 审批）","否")))</f>
        <v/>
      </c>
      <c r="R14" s="25" t="n"/>
    </row>
    <row r="15">
      <c r="A15" s="18" t="n">
        <v>46093</v>
      </c>
      <c r="B15" s="19" t="n">
        <v>320</v>
      </c>
      <c r="C15" s="20" t="n">
        <v>0.1244</v>
      </c>
      <c r="D15" s="20" t="n">
        <v>0.1335</v>
      </c>
      <c r="E15" s="21">
        <f>IFERROR($C15+$D15,"")</f>
        <v/>
      </c>
      <c r="F15" s="21">
        <f>IF($E15="","",IF($E15&lt;0.05,0,IF($E15&lt;0.1,0.02,IF($E15&lt;0.15,0.03,IF($E15&lt;0.2,0.05,IF($E15&lt;=0.3,0.07,0.1))))))</f>
        <v/>
      </c>
      <c r="G15" s="5" t="inlineStr">
        <is>
          <t>是</t>
        </is>
      </c>
      <c r="H15" s="20" t="n">
        <v>0.53</v>
      </c>
      <c r="I15" s="20" t="n">
        <v>0.13</v>
      </c>
      <c r="J15" s="20" t="n">
        <v>0.533</v>
      </c>
      <c r="K15" s="5" t="inlineStr">
        <is>
          <t>有</t>
        </is>
      </c>
      <c r="L15" s="22">
        <f>IF($E15="","",IF($G15="是",0.5,1)*IF($H15&gt;0.6,0.5,1)*IF($I15&gt;0.4,0.5,1)*IF($J15&gt;0.5,0.8,1))</f>
        <v/>
      </c>
      <c r="M15" s="23">
        <f>IFERROR($F15*$L15*IF($K15="无",0.5,1),"")</f>
        <v/>
      </c>
      <c r="N15" s="24">
        <f>IFERROR(FLOOR($B15*$M15,1),"")</f>
        <v/>
      </c>
      <c r="O15" s="24">
        <f>IFERROR(MIN(FLOOR($B15*0.05,1),15),"")</f>
        <v/>
      </c>
      <c r="P15" s="24">
        <f>IFERROR(MIN($N15,$O15),"")</f>
        <v/>
      </c>
      <c r="Q15" s="6">
        <f>IF($P15="","",IF($F15&gt;=0.1,"是（基准率 10%，须 L3 审批）",IF($P15&gt;=10,"是（≥10 间，须 L3 审批）","否")))</f>
        <v/>
      </c>
      <c r="R15" s="25" t="n"/>
    </row>
    <row r="16">
      <c r="A16" s="18" t="n">
        <v>46094</v>
      </c>
      <c r="B16" s="19" t="n">
        <v>320</v>
      </c>
      <c r="C16" s="20" t="n">
        <v>0.1452</v>
      </c>
      <c r="D16" s="20" t="n">
        <v>0.062</v>
      </c>
      <c r="E16" s="21">
        <f>IFERROR($C16+$D16,"")</f>
        <v/>
      </c>
      <c r="F16" s="21">
        <f>IF($E16="","",IF($E16&lt;0.05,0,IF($E16&lt;0.1,0.02,IF($E16&lt;0.15,0.03,IF($E16&lt;0.2,0.05,IF($E16&lt;=0.3,0.07,0.1))))))</f>
        <v/>
      </c>
      <c r="G16" s="5" t="inlineStr">
        <is>
          <t>是</t>
        </is>
      </c>
      <c r="H16" s="20" t="n">
        <v>0.797</v>
      </c>
      <c r="I16" s="20" t="n">
        <v>0.241</v>
      </c>
      <c r="J16" s="20" t="n">
        <v>0.271</v>
      </c>
      <c r="K16" s="5" t="inlineStr">
        <is>
          <t>有</t>
        </is>
      </c>
      <c r="L16" s="22">
        <f>IF($E16="","",IF($G16="是",0.5,1)*IF($H16&gt;0.6,0.5,1)*IF($I16&gt;0.4,0.5,1)*IF($J16&gt;0.5,0.8,1))</f>
        <v/>
      </c>
      <c r="M16" s="23">
        <f>IFERROR($F16*$L16*IF($K16="无",0.5,1),"")</f>
        <v/>
      </c>
      <c r="N16" s="24">
        <f>IFERROR(FLOOR($B16*$M16,1),"")</f>
        <v/>
      </c>
      <c r="O16" s="24">
        <f>IFERROR(MIN(FLOOR($B16*0.05,1),15),"")</f>
        <v/>
      </c>
      <c r="P16" s="24">
        <f>IFERROR(MIN($N16,$O16),"")</f>
        <v/>
      </c>
      <c r="Q16" s="6">
        <f>IF($P16="","",IF($F16&gt;=0.1,"是（基准率 10%，须 L3 审批）",IF($P16&gt;=10,"是（≥10 间，须 L3 审批）","否")))</f>
        <v/>
      </c>
      <c r="R16" s="25" t="n"/>
    </row>
    <row r="17">
      <c r="A17" s="18" t="n">
        <v>46095</v>
      </c>
      <c r="B17" s="19" t="n">
        <v>320</v>
      </c>
      <c r="C17" s="20" t="n">
        <v>0.0473</v>
      </c>
      <c r="D17" s="20" t="n">
        <v>0.0646</v>
      </c>
      <c r="E17" s="21">
        <f>IFERROR($C17+$D17,"")</f>
        <v/>
      </c>
      <c r="F17" s="21">
        <f>IF($E17="","",IF($E17&lt;0.05,0,IF($E17&lt;0.1,0.02,IF($E17&lt;0.15,0.03,IF($E17&lt;0.2,0.05,IF($E17&lt;=0.3,0.07,0.1))))))</f>
        <v/>
      </c>
      <c r="G17" s="5" t="inlineStr">
        <is>
          <t>否</t>
        </is>
      </c>
      <c r="H17" s="20" t="n">
        <v>0.836</v>
      </c>
      <c r="I17" s="20" t="n">
        <v>0.362</v>
      </c>
      <c r="J17" s="20" t="n">
        <v>0.417</v>
      </c>
      <c r="K17" s="5" t="inlineStr">
        <is>
          <t>有</t>
        </is>
      </c>
      <c r="L17" s="22">
        <f>IF($E17="","",IF($G17="是",0.5,1)*IF($H17&gt;0.6,0.5,1)*IF($I17&gt;0.4,0.5,1)*IF($J17&gt;0.5,0.8,1))</f>
        <v/>
      </c>
      <c r="M17" s="23">
        <f>IFERROR($F17*$L17*IF($K17="无",0.5,1),"")</f>
        <v/>
      </c>
      <c r="N17" s="24">
        <f>IFERROR(FLOOR($B17*$M17,1),"")</f>
        <v/>
      </c>
      <c r="O17" s="24">
        <f>IFERROR(MIN(FLOOR($B17*0.05,1),15),"")</f>
        <v/>
      </c>
      <c r="P17" s="24">
        <f>IFERROR(MIN($N17,$O17),"")</f>
        <v/>
      </c>
      <c r="Q17" s="6">
        <f>IF($P17="","",IF($F17&gt;=0.1,"是（基准率 10%，须 L3 审批）",IF($P17&gt;=10,"是（≥10 间，须 L3 审批）","否")))</f>
        <v/>
      </c>
      <c r="R17" s="25" t="n"/>
    </row>
    <row r="18">
      <c r="A18" s="18" t="n">
        <v>46096</v>
      </c>
      <c r="B18" s="19" t="n">
        <v>320</v>
      </c>
      <c r="C18" s="20" t="n">
        <v>0.1207</v>
      </c>
      <c r="D18" s="20" t="n">
        <v>0.08989999999999999</v>
      </c>
      <c r="E18" s="21">
        <f>IFERROR($C18+$D18,"")</f>
        <v/>
      </c>
      <c r="F18" s="21">
        <f>IF($E18="","",IF($E18&lt;0.05,0,IF($E18&lt;0.1,0.02,IF($E18&lt;0.15,0.03,IF($E18&lt;0.2,0.05,IF($E18&lt;=0.3,0.07,0.1))))))</f>
        <v/>
      </c>
      <c r="G18" s="5" t="inlineStr">
        <is>
          <t>否</t>
        </is>
      </c>
      <c r="H18" s="20" t="n">
        <v>0.756</v>
      </c>
      <c r="I18" s="20" t="n">
        <v>0.242</v>
      </c>
      <c r="J18" s="20" t="n">
        <v>0.43</v>
      </c>
      <c r="K18" s="5" t="inlineStr">
        <is>
          <t>有</t>
        </is>
      </c>
      <c r="L18" s="22">
        <f>IF($E18="","",IF($G18="是",0.5,1)*IF($H18&gt;0.6,0.5,1)*IF($I18&gt;0.4,0.5,1)*IF($J18&gt;0.5,0.8,1))</f>
        <v/>
      </c>
      <c r="M18" s="23">
        <f>IFERROR($F18*$L18*IF($K18="无",0.5,1),"")</f>
        <v/>
      </c>
      <c r="N18" s="24">
        <f>IFERROR(FLOOR($B18*$M18,1),"")</f>
        <v/>
      </c>
      <c r="O18" s="24">
        <f>IFERROR(MIN(FLOOR($B18*0.05,1),15),"")</f>
        <v/>
      </c>
      <c r="P18" s="24">
        <f>IFERROR(MIN($N18,$O18),"")</f>
        <v/>
      </c>
      <c r="Q18" s="6">
        <f>IF($P18="","",IF($F18&gt;=0.1,"是（基准率 10%，须 L3 审批）",IF($P18&gt;=10,"是（≥10 间，须 L3 审批）","否")))</f>
        <v/>
      </c>
      <c r="R18" s="25" t="n"/>
    </row>
    <row r="19">
      <c r="A19" s="18" t="n">
        <v>46097</v>
      </c>
      <c r="B19" s="19" t="n">
        <v>320</v>
      </c>
      <c r="C19" s="20" t="n">
        <v>0.09030000000000001</v>
      </c>
      <c r="D19" s="20" t="n">
        <v>0.0886</v>
      </c>
      <c r="E19" s="21">
        <f>IFERROR($C19+$D19,"")</f>
        <v/>
      </c>
      <c r="F19" s="21">
        <f>IF($E19="","",IF($E19&lt;0.05,0,IF($E19&lt;0.1,0.02,IF($E19&lt;0.15,0.03,IF($E19&lt;0.2,0.05,IF($E19&lt;=0.3,0.07,0.1))))))</f>
        <v/>
      </c>
      <c r="G19" s="5" t="inlineStr">
        <is>
          <t>否</t>
        </is>
      </c>
      <c r="H19" s="20" t="n">
        <v>0.597</v>
      </c>
      <c r="I19" s="20" t="n">
        <v>0.246</v>
      </c>
      <c r="J19" s="20" t="n">
        <v>0.425</v>
      </c>
      <c r="K19" s="5" t="inlineStr">
        <is>
          <t>有</t>
        </is>
      </c>
      <c r="L19" s="22">
        <f>IF($E19="","",IF($G19="是",0.5,1)*IF($H19&gt;0.6,0.5,1)*IF($I19&gt;0.4,0.5,1)*IF($J19&gt;0.5,0.8,1))</f>
        <v/>
      </c>
      <c r="M19" s="23">
        <f>IFERROR($F19*$L19*IF($K19="无",0.5,1),"")</f>
        <v/>
      </c>
      <c r="N19" s="24">
        <f>IFERROR(FLOOR($B19*$M19,1),"")</f>
        <v/>
      </c>
      <c r="O19" s="24">
        <f>IFERROR(MIN(FLOOR($B19*0.05,1),15),"")</f>
        <v/>
      </c>
      <c r="P19" s="24">
        <f>IFERROR(MIN($N19,$O19),"")</f>
        <v/>
      </c>
      <c r="Q19" s="6">
        <f>IF($P19="","",IF($F19&gt;=0.1,"是（基准率 10%，须 L3 审批）",IF($P19&gt;=10,"是（≥10 间，须 L3 审批）","否")))</f>
        <v/>
      </c>
      <c r="R19" s="25" t="n"/>
    </row>
    <row r="20">
      <c r="A20" s="18" t="n">
        <v>46098</v>
      </c>
      <c r="B20" s="19" t="n">
        <v>320</v>
      </c>
      <c r="C20" s="20" t="n">
        <v>0.0314</v>
      </c>
      <c r="D20" s="20" t="n">
        <v>0.1679</v>
      </c>
      <c r="E20" s="21">
        <f>IFERROR($C20+$D20,"")</f>
        <v/>
      </c>
      <c r="F20" s="21">
        <f>IF($E20="","",IF($E20&lt;0.05,0,IF($E20&lt;0.1,0.02,IF($E20&lt;0.15,0.03,IF($E20&lt;0.2,0.05,IF($E20&lt;=0.3,0.07,0.1))))))</f>
        <v/>
      </c>
      <c r="G20" s="5" t="inlineStr">
        <is>
          <t>否</t>
        </is>
      </c>
      <c r="H20" s="20" t="n">
        <v>0.719</v>
      </c>
      <c r="I20" s="20" t="n">
        <v>0.483</v>
      </c>
      <c r="J20" s="20" t="n">
        <v>0.534</v>
      </c>
      <c r="K20" s="5" t="inlineStr">
        <is>
          <t>有</t>
        </is>
      </c>
      <c r="L20" s="22">
        <f>IF($E20="","",IF($G20="是",0.5,1)*IF($H20&gt;0.6,0.5,1)*IF($I20&gt;0.4,0.5,1)*IF($J20&gt;0.5,0.8,1))</f>
        <v/>
      </c>
      <c r="M20" s="23">
        <f>IFERROR($F20*$L20*IF($K20="无",0.5,1),"")</f>
        <v/>
      </c>
      <c r="N20" s="24">
        <f>IFERROR(FLOOR($B20*$M20,1),"")</f>
        <v/>
      </c>
      <c r="O20" s="24">
        <f>IFERROR(MIN(FLOOR($B20*0.05,1),15),"")</f>
        <v/>
      </c>
      <c r="P20" s="24">
        <f>IFERROR(MIN($N20,$O20),"")</f>
        <v/>
      </c>
      <c r="Q20" s="6">
        <f>IF($P20="","",IF($F20&gt;=0.1,"是（基准率 10%，须 L3 审批）",IF($P20&gt;=10,"是（≥10 间，须 L3 审批）","否")))</f>
        <v/>
      </c>
      <c r="R20" s="25" t="n"/>
    </row>
    <row r="21">
      <c r="A21" s="18" t="n">
        <v>46099</v>
      </c>
      <c r="B21" s="19" t="n">
        <v>320</v>
      </c>
      <c r="C21" s="20" t="n">
        <v>0.126</v>
      </c>
      <c r="D21" s="20" t="n">
        <v>0.1478</v>
      </c>
      <c r="E21" s="21">
        <f>IFERROR($C21+$D21,"")</f>
        <v/>
      </c>
      <c r="F21" s="21">
        <f>IF($E21="","",IF($E21&lt;0.05,0,IF($E21&lt;0.1,0.02,IF($E21&lt;0.15,0.03,IF($E21&lt;0.2,0.05,IF($E21&lt;=0.3,0.07,0.1))))))</f>
        <v/>
      </c>
      <c r="G21" s="5" t="inlineStr">
        <is>
          <t>否</t>
        </is>
      </c>
      <c r="H21" s="20" t="n">
        <v>0.375</v>
      </c>
      <c r="I21" s="20" t="n">
        <v>0.146</v>
      </c>
      <c r="J21" s="20" t="n">
        <v>0.632</v>
      </c>
      <c r="K21" s="5" t="inlineStr">
        <is>
          <t>有</t>
        </is>
      </c>
      <c r="L21" s="22">
        <f>IF($E21="","",IF($G21="是",0.5,1)*IF($H21&gt;0.6,0.5,1)*IF($I21&gt;0.4,0.5,1)*IF($J21&gt;0.5,0.8,1))</f>
        <v/>
      </c>
      <c r="M21" s="23">
        <f>IFERROR($F21*$L21*IF($K21="无",0.5,1),"")</f>
        <v/>
      </c>
      <c r="N21" s="24">
        <f>IFERROR(FLOOR($B21*$M21,1),"")</f>
        <v/>
      </c>
      <c r="O21" s="24">
        <f>IFERROR(MIN(FLOOR($B21*0.05,1),15),"")</f>
        <v/>
      </c>
      <c r="P21" s="24">
        <f>IFERROR(MIN($N21,$O21),"")</f>
        <v/>
      </c>
      <c r="Q21" s="6">
        <f>IF($P21="","",IF($F21&gt;=0.1,"是（基准率 10%，须 L3 审批）",IF($P21&gt;=10,"是（≥10 间，须 L3 审批）","否")))</f>
        <v/>
      </c>
      <c r="R21" s="25" t="n"/>
    </row>
    <row r="22">
      <c r="A22" s="18" t="n">
        <v>46100</v>
      </c>
      <c r="B22" s="19" t="n">
        <v>320</v>
      </c>
      <c r="C22" s="20" t="n">
        <v>0.0559</v>
      </c>
      <c r="D22" s="20" t="n">
        <v>0.08160000000000001</v>
      </c>
      <c r="E22" s="21">
        <f>IFERROR($C22+$D22,"")</f>
        <v/>
      </c>
      <c r="F22" s="21">
        <f>IF($E22="","",IF($E22&lt;0.05,0,IF($E22&lt;0.1,0.02,IF($E22&lt;0.15,0.03,IF($E22&lt;0.2,0.05,IF($E22&lt;=0.3,0.07,0.1))))))</f>
        <v/>
      </c>
      <c r="G22" s="5" t="inlineStr">
        <is>
          <t>是</t>
        </is>
      </c>
      <c r="H22" s="20" t="n">
        <v>0.638</v>
      </c>
      <c r="I22" s="20" t="n">
        <v>0.542</v>
      </c>
      <c r="J22" s="20" t="n">
        <v>0.216</v>
      </c>
      <c r="K22" s="5" t="inlineStr">
        <is>
          <t>有</t>
        </is>
      </c>
      <c r="L22" s="22">
        <f>IF($E22="","",IF($G22="是",0.5,1)*IF($H22&gt;0.6,0.5,1)*IF($I22&gt;0.4,0.5,1)*IF($J22&gt;0.5,0.8,1))</f>
        <v/>
      </c>
      <c r="M22" s="23">
        <f>IFERROR($F22*$L22*IF($K22="无",0.5,1),"")</f>
        <v/>
      </c>
      <c r="N22" s="24">
        <f>IFERROR(FLOOR($B22*$M22,1),"")</f>
        <v/>
      </c>
      <c r="O22" s="24">
        <f>IFERROR(MIN(FLOOR($B22*0.05,1),15),"")</f>
        <v/>
      </c>
      <c r="P22" s="24">
        <f>IFERROR(MIN($N22,$O22),"")</f>
        <v/>
      </c>
      <c r="Q22" s="6">
        <f>IF($P22="","",IF($F22&gt;=0.1,"是（基准率 10%，须 L3 审批）",IF($P22&gt;=10,"是（≥10 间，须 L3 审批）","否")))</f>
        <v/>
      </c>
      <c r="R22" s="25" t="n"/>
    </row>
    <row r="23">
      <c r="A23" s="18" t="n">
        <v>46101</v>
      </c>
      <c r="B23" s="19" t="n">
        <v>320</v>
      </c>
      <c r="C23" s="20" t="n">
        <v>0.1352</v>
      </c>
      <c r="D23" s="20" t="n">
        <v>0.1642</v>
      </c>
      <c r="E23" s="21">
        <f>IFERROR($C23+$D23,"")</f>
        <v/>
      </c>
      <c r="F23" s="21">
        <f>IF($E23="","",IF($E23&lt;0.05,0,IF($E23&lt;0.1,0.02,IF($E23&lt;0.15,0.03,IF($E23&lt;0.2,0.05,IF($E23&lt;=0.3,0.07,0.1))))))</f>
        <v/>
      </c>
      <c r="G23" s="5" t="inlineStr">
        <is>
          <t>是</t>
        </is>
      </c>
      <c r="H23" s="20" t="n">
        <v>0.6830000000000001</v>
      </c>
      <c r="I23" s="20" t="n">
        <v>0.538</v>
      </c>
      <c r="J23" s="20" t="n">
        <v>0.54</v>
      </c>
      <c r="K23" s="5" t="inlineStr">
        <is>
          <t>有</t>
        </is>
      </c>
      <c r="L23" s="22">
        <f>IF($E23="","",IF($G23="是",0.5,1)*IF($H23&gt;0.6,0.5,1)*IF($I23&gt;0.4,0.5,1)*IF($J23&gt;0.5,0.8,1))</f>
        <v/>
      </c>
      <c r="M23" s="23">
        <f>IFERROR($F23*$L23*IF($K23="无",0.5,1),"")</f>
        <v/>
      </c>
      <c r="N23" s="24">
        <f>IFERROR(FLOOR($B23*$M23,1),"")</f>
        <v/>
      </c>
      <c r="O23" s="24">
        <f>IFERROR(MIN(FLOOR($B23*0.05,1),15),"")</f>
        <v/>
      </c>
      <c r="P23" s="24">
        <f>IFERROR(MIN($N23,$O23),"")</f>
        <v/>
      </c>
      <c r="Q23" s="6">
        <f>IF($P23="","",IF($F23&gt;=0.1,"是（基准率 10%，须 L3 审批）",IF($P23&gt;=10,"是（≥10 间，须 L3 审批）","否")))</f>
        <v/>
      </c>
      <c r="R23" s="25" t="n"/>
    </row>
    <row r="24">
      <c r="A24" s="18" t="n">
        <v>46102</v>
      </c>
      <c r="B24" s="19" t="n">
        <v>320</v>
      </c>
      <c r="C24" s="20" t="n">
        <v>0.1514</v>
      </c>
      <c r="D24" s="20" t="n">
        <v>0.0917</v>
      </c>
      <c r="E24" s="21">
        <f>IFERROR($C24+$D24,"")</f>
        <v/>
      </c>
      <c r="F24" s="21">
        <f>IF($E24="","",IF($E24&lt;0.05,0,IF($E24&lt;0.1,0.02,IF($E24&lt;0.15,0.03,IF($E24&lt;0.2,0.05,IF($E24&lt;=0.3,0.07,0.1))))))</f>
        <v/>
      </c>
      <c r="G24" s="5" t="inlineStr">
        <is>
          <t>否</t>
        </is>
      </c>
      <c r="H24" s="20" t="n">
        <v>0.426</v>
      </c>
      <c r="I24" s="20" t="n">
        <v>0.521</v>
      </c>
      <c r="J24" s="20" t="n">
        <v>0.386</v>
      </c>
      <c r="K24" s="5" t="inlineStr">
        <is>
          <t>有</t>
        </is>
      </c>
      <c r="L24" s="22">
        <f>IF($E24="","",IF($G24="是",0.5,1)*IF($H24&gt;0.6,0.5,1)*IF($I24&gt;0.4,0.5,1)*IF($J24&gt;0.5,0.8,1))</f>
        <v/>
      </c>
      <c r="M24" s="23">
        <f>IFERROR($F24*$L24*IF($K24="无",0.5,1),"")</f>
        <v/>
      </c>
      <c r="N24" s="24">
        <f>IFERROR(FLOOR($B24*$M24,1),"")</f>
        <v/>
      </c>
      <c r="O24" s="24">
        <f>IFERROR(MIN(FLOOR($B24*0.05,1),15),"")</f>
        <v/>
      </c>
      <c r="P24" s="24">
        <f>IFERROR(MIN($N24,$O24),"")</f>
        <v/>
      </c>
      <c r="Q24" s="6">
        <f>IF($P24="","",IF($F24&gt;=0.1,"是（基准率 10%，须 L3 审批）",IF($P24&gt;=10,"是（≥10 间，须 L3 审批）","否")))</f>
        <v/>
      </c>
      <c r="R24" s="25" t="n"/>
    </row>
    <row r="25">
      <c r="A25" s="18" t="n">
        <v>46103</v>
      </c>
      <c r="B25" s="19" t="n">
        <v>320</v>
      </c>
      <c r="C25" s="20" t="n">
        <v>0.1214</v>
      </c>
      <c r="D25" s="20" t="n">
        <v>0.0823</v>
      </c>
      <c r="E25" s="21">
        <f>IFERROR($C25+$D25,"")</f>
        <v/>
      </c>
      <c r="F25" s="21">
        <f>IF($E25="","",IF($E25&lt;0.05,0,IF($E25&lt;0.1,0.02,IF($E25&lt;0.15,0.03,IF($E25&lt;0.2,0.05,IF($E25&lt;=0.3,0.07,0.1))))))</f>
        <v/>
      </c>
      <c r="G25" s="5" t="inlineStr">
        <is>
          <t>否</t>
        </is>
      </c>
      <c r="H25" s="20" t="n">
        <v>0.27</v>
      </c>
      <c r="I25" s="20" t="n">
        <v>0.319</v>
      </c>
      <c r="J25" s="20" t="n">
        <v>0.521</v>
      </c>
      <c r="K25" s="5" t="inlineStr">
        <is>
          <t>有</t>
        </is>
      </c>
      <c r="L25" s="22">
        <f>IF($E25="","",IF($G25="是",0.5,1)*IF($H25&gt;0.6,0.5,1)*IF($I25&gt;0.4,0.5,1)*IF($J25&gt;0.5,0.8,1))</f>
        <v/>
      </c>
      <c r="M25" s="23">
        <f>IFERROR($F25*$L25*IF($K25="无",0.5,1),"")</f>
        <v/>
      </c>
      <c r="N25" s="24">
        <f>IFERROR(FLOOR($B25*$M25,1),"")</f>
        <v/>
      </c>
      <c r="O25" s="24">
        <f>IFERROR(MIN(FLOOR($B25*0.05,1),15),"")</f>
        <v/>
      </c>
      <c r="P25" s="24">
        <f>IFERROR(MIN($N25,$O25),"")</f>
        <v/>
      </c>
      <c r="Q25" s="6">
        <f>IF($P25="","",IF($F25&gt;=0.1,"是（基准率 10%，须 L3 审批）",IF($P25&gt;=10,"是（≥10 间，须 L3 审批）","否")))</f>
        <v/>
      </c>
      <c r="R25" s="25" t="n"/>
    </row>
    <row r="26">
      <c r="A26" s="18" t="n">
        <v>46104</v>
      </c>
      <c r="B26" s="19" t="n">
        <v>320</v>
      </c>
      <c r="C26" s="20" t="n">
        <v>0.1025</v>
      </c>
      <c r="D26" s="20" t="n">
        <v>0.1767</v>
      </c>
      <c r="E26" s="21">
        <f>IFERROR($C26+$D26,"")</f>
        <v/>
      </c>
      <c r="F26" s="21">
        <f>IF($E26="","",IF($E26&lt;0.05,0,IF($E26&lt;0.1,0.02,IF($E26&lt;0.15,0.03,IF($E26&lt;0.2,0.05,IF($E26&lt;=0.3,0.07,0.1))))))</f>
        <v/>
      </c>
      <c r="G26" s="5" t="inlineStr">
        <is>
          <t>否</t>
        </is>
      </c>
      <c r="H26" s="20" t="n">
        <v>0.581</v>
      </c>
      <c r="I26" s="20" t="n">
        <v>0.376</v>
      </c>
      <c r="J26" s="20" t="n">
        <v>0.637</v>
      </c>
      <c r="K26" s="5" t="inlineStr">
        <is>
          <t>有</t>
        </is>
      </c>
      <c r="L26" s="22">
        <f>IF($E26="","",IF($G26="是",0.5,1)*IF($H26&gt;0.6,0.5,1)*IF($I26&gt;0.4,0.5,1)*IF($J26&gt;0.5,0.8,1))</f>
        <v/>
      </c>
      <c r="M26" s="23">
        <f>IFERROR($F26*$L26*IF($K26="无",0.5,1),"")</f>
        <v/>
      </c>
      <c r="N26" s="24">
        <f>IFERROR(FLOOR($B26*$M26,1),"")</f>
        <v/>
      </c>
      <c r="O26" s="24">
        <f>IFERROR(MIN(FLOOR($B26*0.05,1),15),"")</f>
        <v/>
      </c>
      <c r="P26" s="24">
        <f>IFERROR(MIN($N26,$O26),"")</f>
        <v/>
      </c>
      <c r="Q26" s="6">
        <f>IF($P26="","",IF($F26&gt;=0.1,"是（基准率 10%，须 L3 审批）",IF($P26&gt;=10,"是（≥10 间，须 L3 审批）","否")))</f>
        <v/>
      </c>
      <c r="R26" s="25" t="n"/>
    </row>
    <row r="27">
      <c r="A27" s="18" t="n">
        <v>46105</v>
      </c>
      <c r="B27" s="19" t="n">
        <v>320</v>
      </c>
      <c r="C27" s="20" t="n">
        <v>0.0533</v>
      </c>
      <c r="D27" s="20" t="n">
        <v>0.1292</v>
      </c>
      <c r="E27" s="21">
        <f>IFERROR($C27+$D27,"")</f>
        <v/>
      </c>
      <c r="F27" s="21">
        <f>IF($E27="","",IF($E27&lt;0.05,0,IF($E27&lt;0.1,0.02,IF($E27&lt;0.15,0.03,IF($E27&lt;0.2,0.05,IF($E27&lt;=0.3,0.07,0.1))))))</f>
        <v/>
      </c>
      <c r="G27" s="5" t="inlineStr">
        <is>
          <t>否</t>
        </is>
      </c>
      <c r="H27" s="20" t="n">
        <v>0.252</v>
      </c>
      <c r="I27" s="20" t="n">
        <v>0.4</v>
      </c>
      <c r="J27" s="20" t="n">
        <v>0.455</v>
      </c>
      <c r="K27" s="5" t="inlineStr">
        <is>
          <t>有</t>
        </is>
      </c>
      <c r="L27" s="22">
        <f>IF($E27="","",IF($G27="是",0.5,1)*IF($H27&gt;0.6,0.5,1)*IF($I27&gt;0.4,0.5,1)*IF($J27&gt;0.5,0.8,1))</f>
        <v/>
      </c>
      <c r="M27" s="23">
        <f>IFERROR($F27*$L27*IF($K27="无",0.5,1),"")</f>
        <v/>
      </c>
      <c r="N27" s="24">
        <f>IFERROR(FLOOR($B27*$M27,1),"")</f>
        <v/>
      </c>
      <c r="O27" s="24">
        <f>IFERROR(MIN(FLOOR($B27*0.05,1),15),"")</f>
        <v/>
      </c>
      <c r="P27" s="24">
        <f>IFERROR(MIN($N27,$O27),"")</f>
        <v/>
      </c>
      <c r="Q27" s="6">
        <f>IF($P27="","",IF($F27&gt;=0.1,"是（基准率 10%，须 L3 审批）",IF($P27&gt;=10,"是（≥10 间，须 L3 审批）","否")))</f>
        <v/>
      </c>
      <c r="R27" s="25" t="n"/>
    </row>
    <row r="28">
      <c r="A28" s="18" t="n">
        <v>46106</v>
      </c>
      <c r="B28" s="19" t="n">
        <v>320</v>
      </c>
      <c r="C28" s="20" t="n">
        <v>0.0551</v>
      </c>
      <c r="D28" s="20" t="n">
        <v>0.1105</v>
      </c>
      <c r="E28" s="21">
        <f>IFERROR($C28+$D28,"")</f>
        <v/>
      </c>
      <c r="F28" s="21">
        <f>IF($E28="","",IF($E28&lt;0.05,0,IF($E28&lt;0.1,0.02,IF($E28&lt;0.15,0.03,IF($E28&lt;0.2,0.05,IF($E28&lt;=0.3,0.07,0.1))))))</f>
        <v/>
      </c>
      <c r="G28" s="5" t="inlineStr">
        <is>
          <t>否</t>
        </is>
      </c>
      <c r="H28" s="20" t="n">
        <v>0.8149999999999999</v>
      </c>
      <c r="I28" s="20" t="n">
        <v>0.237</v>
      </c>
      <c r="J28" s="20" t="n">
        <v>0.213</v>
      </c>
      <c r="K28" s="5" t="inlineStr">
        <is>
          <t>有</t>
        </is>
      </c>
      <c r="L28" s="22">
        <f>IF($E28="","",IF($G28="是",0.5,1)*IF($H28&gt;0.6,0.5,1)*IF($I28&gt;0.4,0.5,1)*IF($J28&gt;0.5,0.8,1))</f>
        <v/>
      </c>
      <c r="M28" s="23">
        <f>IFERROR($F28*$L28*IF($K28="无",0.5,1),"")</f>
        <v/>
      </c>
      <c r="N28" s="24">
        <f>IFERROR(FLOOR($B28*$M28,1),"")</f>
        <v/>
      </c>
      <c r="O28" s="24">
        <f>IFERROR(MIN(FLOOR($B28*0.05,1),15),"")</f>
        <v/>
      </c>
      <c r="P28" s="24">
        <f>IFERROR(MIN($N28,$O28),"")</f>
        <v/>
      </c>
      <c r="Q28" s="6">
        <f>IF($P28="","",IF($F28&gt;=0.1,"是（基准率 10%，须 L3 审批）",IF($P28&gt;=10,"是（≥10 间，须 L3 审批）","否")))</f>
        <v/>
      </c>
      <c r="R28" s="25" t="n"/>
    </row>
    <row r="29">
      <c r="A29" s="18" t="n">
        <v>46107</v>
      </c>
      <c r="B29" s="19" t="n">
        <v>320</v>
      </c>
      <c r="C29" s="20" t="n">
        <v>0.1433</v>
      </c>
      <c r="D29" s="20" t="n">
        <v>0.0298</v>
      </c>
      <c r="E29" s="21">
        <f>IFERROR($C29+$D29,"")</f>
        <v/>
      </c>
      <c r="F29" s="21">
        <f>IF($E29="","",IF($E29&lt;0.05,0,IF($E29&lt;0.1,0.02,IF($E29&lt;0.15,0.03,IF($E29&lt;0.2,0.05,IF($E29&lt;=0.3,0.07,0.1))))))</f>
        <v/>
      </c>
      <c r="G29" s="5" t="inlineStr">
        <is>
          <t>是</t>
        </is>
      </c>
      <c r="H29" s="20" t="n">
        <v>0.282</v>
      </c>
      <c r="I29" s="20" t="n">
        <v>0.506</v>
      </c>
      <c r="J29" s="20" t="n">
        <v>0.227</v>
      </c>
      <c r="K29" s="5" t="inlineStr">
        <is>
          <t>有</t>
        </is>
      </c>
      <c r="L29" s="22">
        <f>IF($E29="","",IF($G29="是",0.5,1)*IF($H29&gt;0.6,0.5,1)*IF($I29&gt;0.4,0.5,1)*IF($J29&gt;0.5,0.8,1))</f>
        <v/>
      </c>
      <c r="M29" s="23">
        <f>IFERROR($F29*$L29*IF($K29="无",0.5,1),"")</f>
        <v/>
      </c>
      <c r="N29" s="24">
        <f>IFERROR(FLOOR($B29*$M29,1),"")</f>
        <v/>
      </c>
      <c r="O29" s="24">
        <f>IFERROR(MIN(FLOOR($B29*0.05,1),15),"")</f>
        <v/>
      </c>
      <c r="P29" s="24">
        <f>IFERROR(MIN($N29,$O29),"")</f>
        <v/>
      </c>
      <c r="Q29" s="6">
        <f>IF($P29="","",IF($F29&gt;=0.1,"是（基准率 10%，须 L3 审批）",IF($P29&gt;=10,"是（≥10 间，须 L3 审批）","否")))</f>
        <v/>
      </c>
      <c r="R29" s="25" t="n"/>
    </row>
    <row r="30">
      <c r="A30" s="18" t="n">
        <v>46108</v>
      </c>
      <c r="B30" s="19" t="n">
        <v>320</v>
      </c>
      <c r="C30" s="20" t="n">
        <v>0.0653</v>
      </c>
      <c r="D30" s="20" t="n">
        <v>0.1781</v>
      </c>
      <c r="E30" s="21">
        <f>IFERROR($C30+$D30,"")</f>
        <v/>
      </c>
      <c r="F30" s="21">
        <f>IF($E30="","",IF($E30&lt;0.05,0,IF($E30&lt;0.1,0.02,IF($E30&lt;0.15,0.03,IF($E30&lt;0.2,0.05,IF($E30&lt;=0.3,0.07,0.1))))))</f>
        <v/>
      </c>
      <c r="G30" s="5" t="inlineStr">
        <is>
          <t>是</t>
        </is>
      </c>
      <c r="H30" s="20" t="n">
        <v>0.663</v>
      </c>
      <c r="I30" s="20" t="n">
        <v>0.054</v>
      </c>
      <c r="J30" s="20" t="n">
        <v>0.381</v>
      </c>
      <c r="K30" s="5" t="inlineStr">
        <is>
          <t>有</t>
        </is>
      </c>
      <c r="L30" s="22">
        <f>IF($E30="","",IF($G30="是",0.5,1)*IF($H30&gt;0.6,0.5,1)*IF($I30&gt;0.4,0.5,1)*IF($J30&gt;0.5,0.8,1))</f>
        <v/>
      </c>
      <c r="M30" s="23">
        <f>IFERROR($F30*$L30*IF($K30="无",0.5,1),"")</f>
        <v/>
      </c>
      <c r="N30" s="24">
        <f>IFERROR(FLOOR($B30*$M30,1),"")</f>
        <v/>
      </c>
      <c r="O30" s="24">
        <f>IFERROR(MIN(FLOOR($B30*0.05,1),15),"")</f>
        <v/>
      </c>
      <c r="P30" s="24">
        <f>IFERROR(MIN($N30,$O30),"")</f>
        <v/>
      </c>
      <c r="Q30" s="6">
        <f>IF($P30="","",IF($F30&gt;=0.1,"是（基准率 10%，须 L3 审批）",IF($P30&gt;=10,"是（≥10 间，须 L3 审批）","否")))</f>
        <v/>
      </c>
      <c r="R30" s="25" t="n"/>
    </row>
    <row r="31">
      <c r="A31" s="18" t="n">
        <v>46109</v>
      </c>
      <c r="B31" s="19" t="n">
        <v>320</v>
      </c>
      <c r="C31" s="20" t="n">
        <v>0.0525</v>
      </c>
      <c r="D31" s="20" t="n">
        <v>0.1019</v>
      </c>
      <c r="E31" s="21">
        <f>IFERROR($C31+$D31,"")</f>
        <v/>
      </c>
      <c r="F31" s="21">
        <f>IF($E31="","",IF($E31&lt;0.05,0,IF($E31&lt;0.1,0.02,IF($E31&lt;0.15,0.03,IF($E31&lt;0.2,0.05,IF($E31&lt;=0.3,0.07,0.1))))))</f>
        <v/>
      </c>
      <c r="G31" s="5" t="inlineStr">
        <is>
          <t>否</t>
        </is>
      </c>
      <c r="H31" s="20" t="n">
        <v>0.312</v>
      </c>
      <c r="I31" s="20" t="n">
        <v>0.459</v>
      </c>
      <c r="J31" s="20" t="n">
        <v>0.429</v>
      </c>
      <c r="K31" s="5" t="inlineStr">
        <is>
          <t>有</t>
        </is>
      </c>
      <c r="L31" s="22">
        <f>IF($E31="","",IF($G31="是",0.5,1)*IF($H31&gt;0.6,0.5,1)*IF($I31&gt;0.4,0.5,1)*IF($J31&gt;0.5,0.8,1))</f>
        <v/>
      </c>
      <c r="M31" s="23">
        <f>IFERROR($F31*$L31*IF($K31="无",0.5,1),"")</f>
        <v/>
      </c>
      <c r="N31" s="24">
        <f>IFERROR(FLOOR($B31*$M31,1),"")</f>
        <v/>
      </c>
      <c r="O31" s="24">
        <f>IFERROR(MIN(FLOOR($B31*0.05,1),15),"")</f>
        <v/>
      </c>
      <c r="P31" s="24">
        <f>IFERROR(MIN($N31,$O31),"")</f>
        <v/>
      </c>
      <c r="Q31" s="6">
        <f>IF($P31="","",IF($F31&gt;=0.1,"是（基准率 10%，须 L3 审批）",IF($P31&gt;=10,"是（≥10 间，须 L3 审批）","否")))</f>
        <v/>
      </c>
      <c r="R31" s="25" t="n"/>
    </row>
    <row r="32">
      <c r="A32" s="18" t="n">
        <v>46110</v>
      </c>
      <c r="B32" s="19" t="n">
        <v>320</v>
      </c>
      <c r="C32" s="20" t="n">
        <v>0.0634</v>
      </c>
      <c r="D32" s="20" t="n">
        <v>0.1523</v>
      </c>
      <c r="E32" s="21">
        <f>IFERROR($C32+$D32,"")</f>
        <v/>
      </c>
      <c r="F32" s="21">
        <f>IF($E32="","",IF($E32&lt;0.05,0,IF($E32&lt;0.1,0.02,IF($E32&lt;0.15,0.03,IF($E32&lt;0.2,0.05,IF($E32&lt;=0.3,0.07,0.1))))))</f>
        <v/>
      </c>
      <c r="G32" s="5" t="inlineStr">
        <is>
          <t>否</t>
        </is>
      </c>
      <c r="H32" s="20" t="n">
        <v>0.584</v>
      </c>
      <c r="I32" s="20" t="n">
        <v>0.078</v>
      </c>
      <c r="J32" s="20" t="n">
        <v>0.623</v>
      </c>
      <c r="K32" s="5" t="inlineStr">
        <is>
          <t>有</t>
        </is>
      </c>
      <c r="L32" s="22">
        <f>IF($E32="","",IF($G32="是",0.5,1)*IF($H32&gt;0.6,0.5,1)*IF($I32&gt;0.4,0.5,1)*IF($J32&gt;0.5,0.8,1))</f>
        <v/>
      </c>
      <c r="M32" s="23">
        <f>IFERROR($F32*$L32*IF($K32="无",0.5,1),"")</f>
        <v/>
      </c>
      <c r="N32" s="24">
        <f>IFERROR(FLOOR($B32*$M32,1),"")</f>
        <v/>
      </c>
      <c r="O32" s="24">
        <f>IFERROR(MIN(FLOOR($B32*0.05,1),15),"")</f>
        <v/>
      </c>
      <c r="P32" s="24">
        <f>IFERROR(MIN($N32,$O32),"")</f>
        <v/>
      </c>
      <c r="Q32" s="6">
        <f>IF($P32="","",IF($F32&gt;=0.1,"是（基准率 10%，须 L3 审批）",IF($P32&gt;=10,"是（≥10 间，须 L3 审批）","否")))</f>
        <v/>
      </c>
      <c r="R32" s="25" t="n"/>
    </row>
    <row r="33">
      <c r="A33" s="18" t="n">
        <v>46111</v>
      </c>
      <c r="B33" s="19" t="n">
        <v>320</v>
      </c>
      <c r="C33" s="20" t="n">
        <v>0.1326</v>
      </c>
      <c r="D33" s="20" t="n">
        <v>0.1042</v>
      </c>
      <c r="E33" s="21">
        <f>IFERROR($C33+$D33,"")</f>
        <v/>
      </c>
      <c r="F33" s="21">
        <f>IF($E33="","",IF($E33&lt;0.05,0,IF($E33&lt;0.1,0.02,IF($E33&lt;0.15,0.03,IF($E33&lt;0.2,0.05,IF($E33&lt;=0.3,0.07,0.1))))))</f>
        <v/>
      </c>
      <c r="G33" s="5" t="inlineStr">
        <is>
          <t>否</t>
        </is>
      </c>
      <c r="H33" s="20" t="n">
        <v>0.533</v>
      </c>
      <c r="I33" s="20" t="n">
        <v>0.474</v>
      </c>
      <c r="J33" s="20" t="n">
        <v>0.318</v>
      </c>
      <c r="K33" s="5" t="inlineStr">
        <is>
          <t>有</t>
        </is>
      </c>
      <c r="L33" s="22">
        <f>IF($E33="","",IF($G33="是",0.5,1)*IF($H33&gt;0.6,0.5,1)*IF($I33&gt;0.4,0.5,1)*IF($J33&gt;0.5,0.8,1))</f>
        <v/>
      </c>
      <c r="M33" s="23">
        <f>IFERROR($F33*$L33*IF($K33="无",0.5,1),"")</f>
        <v/>
      </c>
      <c r="N33" s="24">
        <f>IFERROR(FLOOR($B33*$M33,1),"")</f>
        <v/>
      </c>
      <c r="O33" s="24">
        <f>IFERROR(MIN(FLOOR($B33*0.05,1),15),"")</f>
        <v/>
      </c>
      <c r="P33" s="24">
        <f>IFERROR(MIN($N33,$O33),"")</f>
        <v/>
      </c>
      <c r="Q33" s="6">
        <f>IF($P33="","",IF($F33&gt;=0.1,"是（基准率 10%，须 L3 审批）",IF($P33&gt;=10,"是（≥10 间，须 L3 审批）","否")))</f>
        <v/>
      </c>
      <c r="R33" s="25" t="n"/>
    </row>
    <row r="35" ht="22" customHeight="1">
      <c r="A35" s="3" t="inlineStr">
        <is>
          <t>《法典》表 E · 超额预订标准表（参考区，勿改）</t>
        </is>
      </c>
    </row>
    <row r="36" ht="24" customHeight="1">
      <c r="A36" s="12" t="inlineStr">
        <is>
          <t>步骤</t>
        </is>
      </c>
      <c r="B36" s="12" t="inlineStr">
        <is>
          <t>条件</t>
        </is>
      </c>
      <c r="C36" s="12" t="inlineStr">
        <is>
          <t>取值</t>
        </is>
      </c>
      <c r="D36" s="12" t="inlineStr">
        <is>
          <t>说明</t>
        </is>
      </c>
      <c r="E36" s="12" t="inlineStr"/>
      <c r="F36" s="12" t="inlineStr"/>
      <c r="G36" s="12" t="inlineStr"/>
      <c r="H36" s="12" t="inlineStr"/>
      <c r="I36" s="12" t="inlineStr"/>
      <c r="J36" s="12" t="inlineStr"/>
      <c r="K36" s="12" t="inlineStr"/>
      <c r="L36" s="12" t="inlineStr"/>
      <c r="M36" s="12" t="inlineStr"/>
      <c r="N36" s="12" t="inlineStr"/>
      <c r="O36" s="12" t="inlineStr"/>
      <c r="P36" s="12" t="inlineStr"/>
      <c r="Q36" s="12" t="inlineStr"/>
      <c r="R36" s="12" t="inlineStr"/>
    </row>
    <row r="37">
      <c r="A37" s="13" t="inlineStr">
        <is>
          <t>第一步</t>
        </is>
      </c>
      <c r="B37" s="7" t="inlineStr">
        <is>
          <t>No-show 率 + 24h 内取消率 &lt;5%</t>
        </is>
      </c>
      <c r="C37" s="13" t="inlineStr">
        <is>
          <t>0%</t>
        </is>
      </c>
      <c r="D37" s="7" t="inlineStr">
        <is>
          <t>查基准超售率</t>
        </is>
      </c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</row>
    <row r="38">
      <c r="A38" s="13" t="inlineStr">
        <is>
          <t>第一步</t>
        </is>
      </c>
      <c r="B38" s="7" t="inlineStr">
        <is>
          <t>5%–10%</t>
        </is>
      </c>
      <c r="C38" s="13" t="inlineStr">
        <is>
          <t>2%</t>
        </is>
      </c>
      <c r="D38" s="7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</row>
    <row r="39">
      <c r="A39" s="13" t="inlineStr">
        <is>
          <t>第一步</t>
        </is>
      </c>
      <c r="B39" s="7" t="inlineStr">
        <is>
          <t>10%–15%</t>
        </is>
      </c>
      <c r="C39" s="13" t="inlineStr">
        <is>
          <t>3%</t>
        </is>
      </c>
      <c r="D39" s="7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</row>
    <row r="40">
      <c r="A40" s="13" t="inlineStr">
        <is>
          <t>第一步</t>
        </is>
      </c>
      <c r="B40" s="7" t="inlineStr">
        <is>
          <t>15%–20%</t>
        </is>
      </c>
      <c r="C40" s="13" t="inlineStr">
        <is>
          <t>5%</t>
        </is>
      </c>
      <c r="D40" s="7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</row>
    <row r="41">
      <c r="A41" s="13" t="inlineStr">
        <is>
          <t>第一步</t>
        </is>
      </c>
      <c r="B41" s="7" t="inlineStr">
        <is>
          <t>20%–30%</t>
        </is>
      </c>
      <c r="C41" s="13" t="inlineStr">
        <is>
          <t>7%</t>
        </is>
      </c>
      <c r="D41" s="7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</row>
    <row r="42">
      <c r="A42" s="13" t="inlineStr">
        <is>
          <t>第一步</t>
        </is>
      </c>
      <c r="B42" s="7" t="inlineStr">
        <is>
          <t>&gt;30%</t>
        </is>
      </c>
      <c r="C42" s="13" t="inlineStr">
        <is>
          <t>10%（需 L3 经理审批）</t>
        </is>
      </c>
      <c r="D42" s="7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</row>
    <row r="43">
      <c r="A43" s="13" t="inlineStr">
        <is>
          <t>第二步</t>
        </is>
      </c>
      <c r="B43" s="7" t="inlineStr">
        <is>
          <t>D1 峰值日 / D2 高涨日</t>
        </is>
      </c>
      <c r="C43" s="13" t="inlineStr">
        <is>
          <t>× 0.5</t>
        </is>
      </c>
      <c r="D43" s="7" t="inlineStr">
        <is>
          <t>修正系数连乘</t>
        </is>
      </c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</row>
    <row r="44">
      <c r="A44" s="13" t="inlineStr">
        <is>
          <t>第二步</t>
        </is>
      </c>
      <c r="B44" s="7" t="inlineStr">
        <is>
          <t>担保预订（预付/信用卡担保）占比 &gt;60%</t>
        </is>
      </c>
      <c r="C44" s="13" t="inlineStr">
        <is>
          <t>× 0.5</t>
        </is>
      </c>
      <c r="D44" s="7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</row>
    <row r="45">
      <c r="A45" s="13" t="inlineStr">
        <is>
          <t>第二步</t>
        </is>
      </c>
      <c r="B45" s="7" t="inlineStr">
        <is>
          <t>会议团队占当日 &gt;40%</t>
        </is>
      </c>
      <c r="C45" s="13" t="inlineStr">
        <is>
          <t>× 0.5</t>
        </is>
      </c>
      <c r="D45" s="7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</row>
    <row r="46">
      <c r="A46" s="13" t="inlineStr">
        <is>
          <t>第二步</t>
        </is>
      </c>
      <c r="B46" s="7" t="inlineStr">
        <is>
          <t>协议客户集中度 &gt;50%</t>
        </is>
      </c>
      <c r="C46" s="13" t="inlineStr">
        <is>
          <t>× 0.8</t>
        </is>
      </c>
      <c r="D46" s="7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</row>
    <row r="47">
      <c r="A47" s="13" t="inlineStr">
        <is>
          <t>第三步</t>
        </is>
      </c>
      <c r="B47" s="7" t="inlineStr">
        <is>
          <t>超售间数不超过可售房量的 5%</t>
        </is>
      </c>
      <c r="C47" s="13" t="inlineStr">
        <is>
          <t>硬上限 1</t>
        </is>
      </c>
      <c r="D47" s="7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</row>
    <row r="48">
      <c r="A48" s="13" t="inlineStr">
        <is>
          <t>第三步</t>
        </is>
      </c>
      <c r="B48" s="7" t="inlineStr">
        <is>
          <t>超售间数不超过 15 间</t>
        </is>
      </c>
      <c r="C48" s="13" t="inlineStr">
        <is>
          <t>硬上限 2</t>
        </is>
      </c>
      <c r="D48" s="7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</row>
    <row r="49">
      <c r="A49" s="13" t="inlineStr">
        <is>
          <t>第三步</t>
        </is>
      </c>
      <c r="B49" s="7" t="inlineStr">
        <is>
          <t>步行 30 分钟内无同档次备用酒店</t>
        </is>
      </c>
      <c r="C49" s="13" t="inlineStr">
        <is>
          <t>超售率减半</t>
        </is>
      </c>
      <c r="D49" s="7" t="inlineStr">
        <is>
          <t>对应 K 列选「无」</t>
        </is>
      </c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</row>
    <row r="50">
      <c r="A50" s="13" t="inlineStr">
        <is>
          <t>基础公式</t>
        </is>
      </c>
      <c r="B50" s="7" t="inlineStr">
        <is>
          <t>超售间数 = 可售房量 × 超售率（向下取整）</t>
        </is>
      </c>
      <c r="C50" s="13" t="inlineStr">
        <is>
          <t>—</t>
        </is>
      </c>
      <c r="D50" s="7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13" t="n"/>
      <c r="Q50" s="13" t="n"/>
      <c r="R50" s="13" t="n"/>
    </row>
  </sheetData>
  <mergeCells count="3">
    <mergeCell ref="A2:R2"/>
    <mergeCell ref="A1:R1"/>
    <mergeCell ref="A35:R35"/>
  </mergeCells>
  <conditionalFormatting sqref="P4:P33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  <cfRule type="cellIs" priority="4" operator="lessThanOrEqual" dxfId="2">
      <formula>0</formula>
    </cfRule>
  </conditionalFormatting>
  <conditionalFormatting sqref="Q4:Q33">
    <cfRule type="expression" priority="5" dxfId="0">
      <formula>LEFT($Q4,1)="是"</formula>
    </cfRule>
    <cfRule type="expression" priority="6" dxfId="3">
      <formula>EXACT($Q4,"否")</formula>
    </cfRule>
  </conditionalFormatting>
  <dataValidations count="5">
    <dataValidation sqref="G4:G33" showDropDown="0" showInputMessage="0" showErrorMessage="1" allowBlank="1" type="list">
      <formula1>"是,否"</formula1>
    </dataValidation>
    <dataValidation sqref="K4:K33" showDropDown="0" showInputMessage="0" showErrorMessage="1" allowBlank="1" type="list">
      <formula1>"有,无"</formula1>
    </dataValidation>
    <dataValidation sqref="C4:D33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H4:J33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A4:A33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2" customWidth="1" min="4" max="4"/>
    <col width="13" customWidth="1" min="5" max="5"/>
    <col width="13" customWidth="1" min="6" max="6"/>
    <col width="11" customWidth="1" min="7" max="7"/>
    <col width="30" customWidth="1" min="8" max="8"/>
  </cols>
  <sheetData>
    <row r="1" ht="30" customHeight="1">
      <c r="A1" s="1" t="inlineStr">
        <is>
          <t>历史取消率 · 近 30 天（超售参数的来源）</t>
        </is>
      </c>
    </row>
    <row r="2" ht="26" customHeight="1">
      <c r="A2" s="2" t="inlineStr">
        <is>
          <t>输入：每日预订数、No-show 数、24h 内取消数。三种率与近 30 天平均自动算出，供「超售计算」页引用。</t>
        </is>
      </c>
    </row>
    <row r="3" ht="32" customHeight="1">
      <c r="A3" s="12" t="inlineStr">
        <is>
          <t>日期</t>
        </is>
      </c>
      <c r="B3" s="12" t="inlineStr">
        <is>
          <t>预订数</t>
        </is>
      </c>
      <c r="C3" s="12" t="inlineStr">
        <is>
          <t>No-show 数</t>
        </is>
      </c>
      <c r="D3" s="12" t="inlineStr">
        <is>
          <t>No-show 率</t>
        </is>
      </c>
      <c r="E3" s="12" t="inlineStr">
        <is>
          <t>24h 内取消数</t>
        </is>
      </c>
      <c r="F3" s="12" t="inlineStr">
        <is>
          <t>24h 内取消率</t>
        </is>
      </c>
      <c r="G3" s="12" t="inlineStr">
        <is>
          <t>合计率</t>
        </is>
      </c>
      <c r="H3" s="12" t="inlineStr">
        <is>
          <t>备注</t>
        </is>
      </c>
    </row>
    <row r="4">
      <c r="A4" s="18" t="n">
        <v>46052</v>
      </c>
      <c r="B4" s="19" t="n">
        <v>232</v>
      </c>
      <c r="C4" s="19" t="n">
        <v>10</v>
      </c>
      <c r="D4" s="21">
        <f>IFERROR($C4/$B4,"")</f>
        <v/>
      </c>
      <c r="E4" s="19" t="n">
        <v>5</v>
      </c>
      <c r="F4" s="21">
        <f>IFERROR($E4/$B4,"")</f>
        <v/>
      </c>
      <c r="G4" s="21">
        <f>IFERROR($D4+$F4,"")</f>
        <v/>
      </c>
      <c r="H4" s="25" t="n"/>
    </row>
    <row r="5">
      <c r="A5" s="18" t="n">
        <v>46053</v>
      </c>
      <c r="B5" s="19" t="n">
        <v>154</v>
      </c>
      <c r="C5" s="19" t="n">
        <v>6</v>
      </c>
      <c r="D5" s="21">
        <f>IFERROR($C5/$B5,"")</f>
        <v/>
      </c>
      <c r="E5" s="19" t="n">
        <v>10</v>
      </c>
      <c r="F5" s="21">
        <f>IFERROR($E5/$B5,"")</f>
        <v/>
      </c>
      <c r="G5" s="21">
        <f>IFERROR($D5+$F5,"")</f>
        <v/>
      </c>
      <c r="H5" s="25" t="n"/>
    </row>
    <row r="6">
      <c r="A6" s="18" t="n">
        <v>46054</v>
      </c>
      <c r="B6" s="19" t="n">
        <v>254</v>
      </c>
      <c r="C6" s="19" t="n">
        <v>3</v>
      </c>
      <c r="D6" s="21">
        <f>IFERROR($C6/$B6,"")</f>
        <v/>
      </c>
      <c r="E6" s="19" t="n">
        <v>25</v>
      </c>
      <c r="F6" s="21">
        <f>IFERROR($E6/$B6,"")</f>
        <v/>
      </c>
      <c r="G6" s="21">
        <f>IFERROR($D6+$F6,"")</f>
        <v/>
      </c>
      <c r="H6" s="25" t="n"/>
    </row>
    <row r="7">
      <c r="A7" s="18" t="n">
        <v>46055</v>
      </c>
      <c r="B7" s="19" t="n">
        <v>137</v>
      </c>
      <c r="C7" s="19" t="n">
        <v>17</v>
      </c>
      <c r="D7" s="21">
        <f>IFERROR($C7/$B7,"")</f>
        <v/>
      </c>
      <c r="E7" s="19" t="n">
        <v>4</v>
      </c>
      <c r="F7" s="21">
        <f>IFERROR($E7/$B7,"")</f>
        <v/>
      </c>
      <c r="G7" s="21">
        <f>IFERROR($D7+$F7,"")</f>
        <v/>
      </c>
      <c r="H7" s="25" t="n"/>
    </row>
    <row r="8">
      <c r="A8" s="18" t="n">
        <v>46056</v>
      </c>
      <c r="B8" s="19" t="n">
        <v>185</v>
      </c>
      <c r="C8" s="19" t="n">
        <v>10</v>
      </c>
      <c r="D8" s="21">
        <f>IFERROR($C8/$B8,"")</f>
        <v/>
      </c>
      <c r="E8" s="19" t="n">
        <v>11</v>
      </c>
      <c r="F8" s="21">
        <f>IFERROR($E8/$B8,"")</f>
        <v/>
      </c>
      <c r="G8" s="21">
        <f>IFERROR($D8+$F8,"")</f>
        <v/>
      </c>
      <c r="H8" s="25" t="n"/>
    </row>
    <row r="9">
      <c r="A9" s="18" t="n">
        <v>46057</v>
      </c>
      <c r="B9" s="19" t="n">
        <v>128</v>
      </c>
      <c r="C9" s="19" t="n">
        <v>5</v>
      </c>
      <c r="D9" s="21">
        <f>IFERROR($C9/$B9,"")</f>
        <v/>
      </c>
      <c r="E9" s="19" t="n">
        <v>25</v>
      </c>
      <c r="F9" s="21">
        <f>IFERROR($E9/$B9,"")</f>
        <v/>
      </c>
      <c r="G9" s="21">
        <f>IFERROR($D9+$F9,"")</f>
        <v/>
      </c>
      <c r="H9" s="25" t="n"/>
    </row>
    <row r="10">
      <c r="A10" s="18" t="n">
        <v>46058</v>
      </c>
      <c r="B10" s="19" t="n">
        <v>206</v>
      </c>
      <c r="C10" s="19" t="n">
        <v>10</v>
      </c>
      <c r="D10" s="21">
        <f>IFERROR($C10/$B10,"")</f>
        <v/>
      </c>
      <c r="E10" s="19" t="n">
        <v>7</v>
      </c>
      <c r="F10" s="21">
        <f>IFERROR($E10/$B10,"")</f>
        <v/>
      </c>
      <c r="G10" s="21">
        <f>IFERROR($D10+$F10,"")</f>
        <v/>
      </c>
      <c r="H10" s="25" t="n"/>
    </row>
    <row r="11">
      <c r="A11" s="18" t="n">
        <v>46059</v>
      </c>
      <c r="B11" s="19" t="n">
        <v>173</v>
      </c>
      <c r="C11" s="19" t="n">
        <v>12</v>
      </c>
      <c r="D11" s="21">
        <f>IFERROR($C11/$B11,"")</f>
        <v/>
      </c>
      <c r="E11" s="19" t="n">
        <v>11</v>
      </c>
      <c r="F11" s="21">
        <f>IFERROR($E11/$B11,"")</f>
        <v/>
      </c>
      <c r="G11" s="21">
        <f>IFERROR($D11+$F11,"")</f>
        <v/>
      </c>
      <c r="H11" s="25" t="n"/>
    </row>
    <row r="12">
      <c r="A12" s="18" t="n">
        <v>46060</v>
      </c>
      <c r="B12" s="19" t="n">
        <v>139</v>
      </c>
      <c r="C12" s="19" t="n">
        <v>15</v>
      </c>
      <c r="D12" s="21">
        <f>IFERROR($C12/$B12,"")</f>
        <v/>
      </c>
      <c r="E12" s="19" t="n">
        <v>25</v>
      </c>
      <c r="F12" s="21">
        <f>IFERROR($E12/$B12,"")</f>
        <v/>
      </c>
      <c r="G12" s="21">
        <f>IFERROR($D12+$F12,"")</f>
        <v/>
      </c>
      <c r="H12" s="25" t="n"/>
    </row>
    <row r="13">
      <c r="A13" s="18" t="n">
        <v>46061</v>
      </c>
      <c r="B13" s="19" t="n">
        <v>202</v>
      </c>
      <c r="C13" s="19" t="n">
        <v>17</v>
      </c>
      <c r="D13" s="21">
        <f>IFERROR($C13/$B13,"")</f>
        <v/>
      </c>
      <c r="E13" s="19" t="n">
        <v>25</v>
      </c>
      <c r="F13" s="21">
        <f>IFERROR($E13/$B13,"")</f>
        <v/>
      </c>
      <c r="G13" s="21">
        <f>IFERROR($D13+$F13,"")</f>
        <v/>
      </c>
      <c r="H13" s="25" t="n"/>
    </row>
    <row r="14">
      <c r="A14" s="18" t="n">
        <v>46062</v>
      </c>
      <c r="B14" s="19" t="n">
        <v>225</v>
      </c>
      <c r="C14" s="19" t="n">
        <v>4</v>
      </c>
      <c r="D14" s="21">
        <f>IFERROR($C14/$B14,"")</f>
        <v/>
      </c>
      <c r="E14" s="19" t="n">
        <v>21</v>
      </c>
      <c r="F14" s="21">
        <f>IFERROR($E14/$B14,"")</f>
        <v/>
      </c>
      <c r="G14" s="21">
        <f>IFERROR($D14+$F14,"")</f>
        <v/>
      </c>
      <c r="H14" s="25" t="n"/>
    </row>
    <row r="15">
      <c r="A15" s="18" t="n">
        <v>46063</v>
      </c>
      <c r="B15" s="19" t="n">
        <v>248</v>
      </c>
      <c r="C15" s="19" t="n">
        <v>15</v>
      </c>
      <c r="D15" s="21">
        <f>IFERROR($C15/$B15,"")</f>
        <v/>
      </c>
      <c r="E15" s="19" t="n">
        <v>8</v>
      </c>
      <c r="F15" s="21">
        <f>IFERROR($E15/$B15,"")</f>
        <v/>
      </c>
      <c r="G15" s="21">
        <f>IFERROR($D15+$F15,"")</f>
        <v/>
      </c>
      <c r="H15" s="25" t="n"/>
    </row>
    <row r="16">
      <c r="A16" s="18" t="n">
        <v>46064</v>
      </c>
      <c r="B16" s="19" t="n">
        <v>181</v>
      </c>
      <c r="C16" s="19" t="n">
        <v>8</v>
      </c>
      <c r="D16" s="21">
        <f>IFERROR($C16/$B16,"")</f>
        <v/>
      </c>
      <c r="E16" s="19" t="n">
        <v>5</v>
      </c>
      <c r="F16" s="21">
        <f>IFERROR($E16/$B16,"")</f>
        <v/>
      </c>
      <c r="G16" s="21">
        <f>IFERROR($D16+$F16,"")</f>
        <v/>
      </c>
      <c r="H16" s="25" t="n"/>
    </row>
    <row r="17">
      <c r="A17" s="18" t="n">
        <v>46065</v>
      </c>
      <c r="B17" s="19" t="n">
        <v>246</v>
      </c>
      <c r="C17" s="19" t="n">
        <v>2</v>
      </c>
      <c r="D17" s="21">
        <f>IFERROR($C17/$B17,"")</f>
        <v/>
      </c>
      <c r="E17" s="19" t="n">
        <v>16</v>
      </c>
      <c r="F17" s="21">
        <f>IFERROR($E17/$B17,"")</f>
        <v/>
      </c>
      <c r="G17" s="21">
        <f>IFERROR($D17+$F17,"")</f>
        <v/>
      </c>
      <c r="H17" s="25" t="n"/>
    </row>
    <row r="18">
      <c r="A18" s="18" t="n">
        <v>46066</v>
      </c>
      <c r="B18" s="19" t="n">
        <v>157</v>
      </c>
      <c r="C18" s="19" t="n">
        <v>4</v>
      </c>
      <c r="D18" s="21">
        <f>IFERROR($C18/$B18,"")</f>
        <v/>
      </c>
      <c r="E18" s="19" t="n">
        <v>11</v>
      </c>
      <c r="F18" s="21">
        <f>IFERROR($E18/$B18,"")</f>
        <v/>
      </c>
      <c r="G18" s="21">
        <f>IFERROR($D18+$F18,"")</f>
        <v/>
      </c>
      <c r="H18" s="25" t="n"/>
    </row>
    <row r="19">
      <c r="A19" s="18" t="n">
        <v>46067</v>
      </c>
      <c r="B19" s="19" t="n">
        <v>143</v>
      </c>
      <c r="C19" s="19" t="n">
        <v>10</v>
      </c>
      <c r="D19" s="21">
        <f>IFERROR($C19/$B19,"")</f>
        <v/>
      </c>
      <c r="E19" s="19" t="n">
        <v>25</v>
      </c>
      <c r="F19" s="21">
        <f>IFERROR($E19/$B19,"")</f>
        <v/>
      </c>
      <c r="G19" s="21">
        <f>IFERROR($D19+$F19,"")</f>
        <v/>
      </c>
      <c r="H19" s="25" t="n"/>
    </row>
    <row r="20">
      <c r="A20" s="18" t="n">
        <v>46068</v>
      </c>
      <c r="B20" s="19" t="n">
        <v>211</v>
      </c>
      <c r="C20" s="19" t="n">
        <v>12</v>
      </c>
      <c r="D20" s="21">
        <f>IFERROR($C20/$B20,"")</f>
        <v/>
      </c>
      <c r="E20" s="19" t="n">
        <v>18</v>
      </c>
      <c r="F20" s="21">
        <f>IFERROR($E20/$B20,"")</f>
        <v/>
      </c>
      <c r="G20" s="21">
        <f>IFERROR($D20+$F20,"")</f>
        <v/>
      </c>
      <c r="H20" s="25" t="n"/>
    </row>
    <row r="21">
      <c r="A21" s="18" t="n">
        <v>46069</v>
      </c>
      <c r="B21" s="19" t="n">
        <v>145</v>
      </c>
      <c r="C21" s="19" t="n">
        <v>7</v>
      </c>
      <c r="D21" s="21">
        <f>IFERROR($C21/$B21,"")</f>
        <v/>
      </c>
      <c r="E21" s="19" t="n">
        <v>11</v>
      </c>
      <c r="F21" s="21">
        <f>IFERROR($E21/$B21,"")</f>
        <v/>
      </c>
      <c r="G21" s="21">
        <f>IFERROR($D21+$F21,"")</f>
        <v/>
      </c>
      <c r="H21" s="25" t="n"/>
    </row>
    <row r="22">
      <c r="A22" s="18" t="n">
        <v>46070</v>
      </c>
      <c r="B22" s="19" t="n">
        <v>166</v>
      </c>
      <c r="C22" s="19" t="n">
        <v>6</v>
      </c>
      <c r="D22" s="21">
        <f>IFERROR($C22/$B22,"")</f>
        <v/>
      </c>
      <c r="E22" s="19" t="n">
        <v>21</v>
      </c>
      <c r="F22" s="21">
        <f>IFERROR($E22/$B22,"")</f>
        <v/>
      </c>
      <c r="G22" s="21">
        <f>IFERROR($D22+$F22,"")</f>
        <v/>
      </c>
      <c r="H22" s="25" t="n"/>
    </row>
    <row r="23">
      <c r="A23" s="18" t="n">
        <v>46071</v>
      </c>
      <c r="B23" s="19" t="n">
        <v>156</v>
      </c>
      <c r="C23" s="19" t="n">
        <v>17</v>
      </c>
      <c r="D23" s="21">
        <f>IFERROR($C23/$B23,"")</f>
        <v/>
      </c>
      <c r="E23" s="19" t="n">
        <v>21</v>
      </c>
      <c r="F23" s="21">
        <f>IFERROR($E23/$B23,"")</f>
        <v/>
      </c>
      <c r="G23" s="21">
        <f>IFERROR($D23+$F23,"")</f>
        <v/>
      </c>
      <c r="H23" s="25" t="n"/>
    </row>
    <row r="24">
      <c r="A24" s="18" t="n">
        <v>46072</v>
      </c>
      <c r="B24" s="19" t="n">
        <v>222</v>
      </c>
      <c r="C24" s="19" t="n">
        <v>4</v>
      </c>
      <c r="D24" s="21">
        <f>IFERROR($C24/$B24,"")</f>
        <v/>
      </c>
      <c r="E24" s="19" t="n">
        <v>26</v>
      </c>
      <c r="F24" s="21">
        <f>IFERROR($E24/$B24,"")</f>
        <v/>
      </c>
      <c r="G24" s="21">
        <f>IFERROR($D24+$F24,"")</f>
        <v/>
      </c>
      <c r="H24" s="25" t="n"/>
    </row>
    <row r="25">
      <c r="A25" s="18" t="n">
        <v>46073</v>
      </c>
      <c r="B25" s="19" t="n">
        <v>247</v>
      </c>
      <c r="C25" s="19" t="n">
        <v>12</v>
      </c>
      <c r="D25" s="21">
        <f>IFERROR($C25/$B25,"")</f>
        <v/>
      </c>
      <c r="E25" s="19" t="n">
        <v>21</v>
      </c>
      <c r="F25" s="21">
        <f>IFERROR($E25/$B25,"")</f>
        <v/>
      </c>
      <c r="G25" s="21">
        <f>IFERROR($D25+$F25,"")</f>
        <v/>
      </c>
      <c r="H25" s="25" t="n"/>
    </row>
    <row r="26">
      <c r="A26" s="18" t="n">
        <v>46074</v>
      </c>
      <c r="B26" s="19" t="n">
        <v>168</v>
      </c>
      <c r="C26" s="19" t="n">
        <v>10</v>
      </c>
      <c r="D26" s="21">
        <f>IFERROR($C26/$B26,"")</f>
        <v/>
      </c>
      <c r="E26" s="19" t="n">
        <v>22</v>
      </c>
      <c r="F26" s="21">
        <f>IFERROR($E26/$B26,"")</f>
        <v/>
      </c>
      <c r="G26" s="21">
        <f>IFERROR($D26+$F26,"")</f>
        <v/>
      </c>
      <c r="H26" s="25" t="n"/>
    </row>
    <row r="27">
      <c r="A27" s="18" t="n">
        <v>46075</v>
      </c>
      <c r="B27" s="19" t="n">
        <v>230</v>
      </c>
      <c r="C27" s="19" t="n">
        <v>18</v>
      </c>
      <c r="D27" s="21">
        <f>IFERROR($C27/$B27,"")</f>
        <v/>
      </c>
      <c r="E27" s="19" t="n">
        <v>5</v>
      </c>
      <c r="F27" s="21">
        <f>IFERROR($E27/$B27,"")</f>
        <v/>
      </c>
      <c r="G27" s="21">
        <f>IFERROR($D27+$F27,"")</f>
        <v/>
      </c>
      <c r="H27" s="25" t="n"/>
    </row>
    <row r="28">
      <c r="A28" s="18" t="n">
        <v>46076</v>
      </c>
      <c r="B28" s="19" t="n">
        <v>220</v>
      </c>
      <c r="C28" s="19" t="n">
        <v>7</v>
      </c>
      <c r="D28" s="21">
        <f>IFERROR($C28/$B28,"")</f>
        <v/>
      </c>
      <c r="E28" s="19" t="n">
        <v>18</v>
      </c>
      <c r="F28" s="21">
        <f>IFERROR($E28/$B28,"")</f>
        <v/>
      </c>
      <c r="G28" s="21">
        <f>IFERROR($D28+$F28,"")</f>
        <v/>
      </c>
      <c r="H28" s="25" t="n"/>
    </row>
    <row r="29">
      <c r="A29" s="18" t="n">
        <v>46077</v>
      </c>
      <c r="B29" s="19" t="n">
        <v>238</v>
      </c>
      <c r="C29" s="19" t="n">
        <v>17</v>
      </c>
      <c r="D29" s="21">
        <f>IFERROR($C29/$B29,"")</f>
        <v/>
      </c>
      <c r="E29" s="19" t="n">
        <v>10</v>
      </c>
      <c r="F29" s="21">
        <f>IFERROR($E29/$B29,"")</f>
        <v/>
      </c>
      <c r="G29" s="21">
        <f>IFERROR($D29+$F29,"")</f>
        <v/>
      </c>
      <c r="H29" s="25" t="n"/>
    </row>
    <row r="30">
      <c r="A30" s="18" t="n">
        <v>46078</v>
      </c>
      <c r="B30" s="19" t="n">
        <v>236</v>
      </c>
      <c r="C30" s="19" t="n">
        <v>5</v>
      </c>
      <c r="D30" s="21">
        <f>IFERROR($C30/$B30,"")</f>
        <v/>
      </c>
      <c r="E30" s="19" t="n">
        <v>6</v>
      </c>
      <c r="F30" s="21">
        <f>IFERROR($E30/$B30,"")</f>
        <v/>
      </c>
      <c r="G30" s="21">
        <f>IFERROR($D30+$F30,"")</f>
        <v/>
      </c>
      <c r="H30" s="25" t="n"/>
    </row>
    <row r="31">
      <c r="A31" s="18" t="n">
        <v>46079</v>
      </c>
      <c r="B31" s="19" t="n">
        <v>221</v>
      </c>
      <c r="C31" s="19" t="n">
        <v>3</v>
      </c>
      <c r="D31" s="21">
        <f>IFERROR($C31/$B31,"")</f>
        <v/>
      </c>
      <c r="E31" s="19" t="n">
        <v>10</v>
      </c>
      <c r="F31" s="21">
        <f>IFERROR($E31/$B31,"")</f>
        <v/>
      </c>
      <c r="G31" s="21">
        <f>IFERROR($D31+$F31,"")</f>
        <v/>
      </c>
      <c r="H31" s="25" t="n"/>
    </row>
    <row r="32">
      <c r="A32" s="18" t="n">
        <v>46080</v>
      </c>
      <c r="B32" s="19" t="n">
        <v>215</v>
      </c>
      <c r="C32" s="19" t="n">
        <v>14</v>
      </c>
      <c r="D32" s="21">
        <f>IFERROR($C32/$B32,"")</f>
        <v/>
      </c>
      <c r="E32" s="19" t="n">
        <v>10</v>
      </c>
      <c r="F32" s="21">
        <f>IFERROR($E32/$B32,"")</f>
        <v/>
      </c>
      <c r="G32" s="21">
        <f>IFERROR($D32+$F32,"")</f>
        <v/>
      </c>
      <c r="H32" s="25" t="n"/>
    </row>
    <row r="33">
      <c r="A33" s="18" t="n">
        <v>46081</v>
      </c>
      <c r="B33" s="19" t="n">
        <v>168</v>
      </c>
      <c r="C33" s="19" t="n">
        <v>9</v>
      </c>
      <c r="D33" s="21">
        <f>IFERROR($C33/$B33,"")</f>
        <v/>
      </c>
      <c r="E33" s="19" t="n">
        <v>3</v>
      </c>
      <c r="F33" s="21">
        <f>IFERROR($E33/$B33,"")</f>
        <v/>
      </c>
      <c r="G33" s="21">
        <f>IFERROR($D33+$F33,"")</f>
        <v/>
      </c>
      <c r="H33" s="25" t="n"/>
    </row>
    <row r="34">
      <c r="A34" s="26" t="inlineStr">
        <is>
          <t>近 30 天平均</t>
        </is>
      </c>
      <c r="B34" s="27">
        <f>SUM($B$4:$B$33)</f>
        <v/>
      </c>
      <c r="C34" s="27">
        <f>SUM($C$4:$C$33)</f>
        <v/>
      </c>
      <c r="D34" s="28">
        <f>IFERROR($C$34/$B$34,"")</f>
        <v/>
      </c>
      <c r="E34" s="27">
        <f>SUM($E$4:$E$33)</f>
        <v/>
      </c>
      <c r="F34" s="28">
        <f>IFERROR($E$34/$B$34,"")</f>
        <v/>
      </c>
      <c r="G34" s="28">
        <f>IFERROR($D$34+$F$34,"")</f>
        <v/>
      </c>
      <c r="H34" s="29" t="inlineStr">
        <is>
          <t>← 把合计率抄到「超售计算」页 C、D 列作为默认输入</t>
        </is>
      </c>
    </row>
  </sheetData>
  <mergeCells count="2">
    <mergeCell ref="A2:H2"/>
    <mergeCell ref="A1:H1"/>
  </mergeCells>
  <conditionalFormatting sqref="G4:G33">
    <cfRule type="cellIs" priority="1" operator="between" dxfId="3">
      <formula>0.05</formula>
      <formula>0.2</formula>
    </cfRule>
    <cfRule type="cellIs" priority="2" operator="between" dxfId="4">
      <formula>0.0</formula>
      <formula>0.05</formula>
    </cfRule>
    <cfRule type="cellIs" priority="3" operator="lessThan" dxfId="0">
      <formula>0.05</formula>
    </cfRule>
    <cfRule type="cellIs" priority="4" operator="greaterThan" dxfId="0">
      <formula>0.2</formula>
    </cfRule>
  </conditionalFormatting>
  <dataValidations count="1">
    <dataValidation sqref="A4:A33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5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2" customWidth="1" min="4" max="4"/>
    <col width="10" customWidth="1" min="5" max="5"/>
    <col width="12" customWidth="1" min="6" max="6"/>
    <col width="10" customWidth="1" min="7" max="7"/>
    <col width="13" customWidth="1" min="8" max="8"/>
    <col width="11" customWidth="1" min="9" max="9"/>
    <col width="24" customWidth="1" min="10" max="10"/>
    <col width="13" customWidth="1" min="11" max="11"/>
    <col width="13" customWidth="1" min="12" max="12"/>
    <col width="13" customWidth="1" min="13" max="13"/>
    <col width="24" customWidth="1" min="14" max="14"/>
  </cols>
  <sheetData>
    <row r="1" ht="30" customHeight="1">
      <c r="A1" s="1" t="inlineStr">
        <is>
          <t>团队／协议询价接受判定 ·《法典》表 G（5×3 矩阵）</t>
        </is>
      </c>
    </row>
    <row r="2" ht="26" customHeight="1">
      <c r="A2" s="2" t="inlineStr">
        <is>
          <t>输入：团队报价、预期散客 ADR、团队间夜、目标日预测 OCC。输出：比率 R、决策、可接受上限与置换成本。</t>
        </is>
      </c>
    </row>
    <row r="3" ht="40" customHeight="1">
      <c r="A3" s="12" t="inlineStr">
        <is>
          <t>询价日期</t>
        </is>
      </c>
      <c r="B3" s="12" t="inlineStr">
        <is>
          <t>客户 / 团队名称</t>
        </is>
      </c>
      <c r="C3" s="12" t="inlineStr">
        <is>
          <t>团队报价</t>
        </is>
      </c>
      <c r="D3" s="12" t="inlineStr">
        <is>
          <t>预期散客 ADR</t>
        </is>
      </c>
      <c r="E3" s="12" t="inlineStr">
        <is>
          <t>团队间夜</t>
        </is>
      </c>
      <c r="F3" s="12" t="inlineStr">
        <is>
          <t>目标日预测 OCC</t>
        </is>
      </c>
      <c r="G3" s="12" t="inlineStr">
        <is>
          <t>比率 R</t>
        </is>
      </c>
      <c r="H3" s="12" t="inlineStr">
        <is>
          <t>比率档</t>
        </is>
      </c>
      <c r="I3" s="12" t="inlineStr">
        <is>
          <t>OCC 档</t>
        </is>
      </c>
      <c r="J3" s="12" t="inlineStr">
        <is>
          <t>决策（表 G）</t>
        </is>
      </c>
      <c r="K3" s="12" t="inlineStr">
        <is>
          <t>可接受上限间数</t>
        </is>
      </c>
      <c r="L3" s="12" t="inlineStr">
        <is>
          <t>团队客房收入</t>
        </is>
      </c>
      <c r="M3" s="12" t="inlineStr">
        <is>
          <t>置换成本</t>
        </is>
      </c>
      <c r="N3" s="12" t="inlineStr">
        <is>
          <t>备注</t>
        </is>
      </c>
    </row>
    <row r="4">
      <c r="A4" s="18" t="n">
        <v>46082</v>
      </c>
      <c r="B4" s="25" t="inlineStr">
        <is>
          <t>杭州某科技公司年会</t>
        </is>
      </c>
      <c r="C4" s="30" t="n">
        <v>560</v>
      </c>
      <c r="D4" s="30" t="n">
        <v>680</v>
      </c>
      <c r="E4" s="19" t="n">
        <v>40</v>
      </c>
      <c r="F4" s="20" t="n">
        <v>0.62</v>
      </c>
      <c r="G4" s="21">
        <f>IFERROR($C4/$D4,"")</f>
        <v/>
      </c>
      <c r="H4" s="9">
        <f>IF($G4="","",IF($G4&gt;=0.85,"R≥85%",IF($G4&gt;=0.75,"75%≤R&lt;85%",IF($G4&gt;=0.65,"65%≤R&lt;75%",IF($G4&gt;=0.55,"55%≤R&lt;65%","R&lt;55%")))))</f>
        <v/>
      </c>
      <c r="I4" s="9">
        <f>IF($F4="","",IF($F4&lt;0.7,"&lt;70%",IF($F4&lt;=0.85,"70-85%","&gt;85%")))</f>
        <v/>
      </c>
      <c r="J4" s="6">
        <f>IF(OR($G4="",$F4=""),"",IF($G4&gt;=0.85,IF($F4&lt;0.7,"接受",IF($F4&lt;=0.85,"接受","接受（≤10 间）")),IF($G4&gt;=0.75,IF($F4&lt;0.7,"接受",IF($F4&lt;=0.85,"接受（≤20 间）","上报 L3")),IF($G4&gt;=0.65,IF($F4&lt;0.7,"接受（≤30 间）",IF($F4&lt;=0.85,"上报 L3","拒绝")),IF($G4&gt;=0.55,IF($F4&lt;0.7,"上报 L3","拒绝"),"拒绝")))))</f>
        <v/>
      </c>
      <c r="K4" s="24">
        <f>IF($G4="","",IF(AND($G4&gt;=0.85,$F4&gt;0.85),10,IF(AND($G4&gt;=0.75,$F4&gt;=0.7,$F4&lt;=0.85),20,IF(AND($G4&gt;=0.65,$F4&lt;0.7),30,IF(OR($J4="拒绝",$J4="上报 L3"),0,$E4)))))</f>
        <v/>
      </c>
      <c r="L4" s="31">
        <f>IFERROR($C4*$E4,"")</f>
        <v/>
      </c>
      <c r="M4" s="31">
        <f>IFERROR($E4*($D4-$C4),"")</f>
        <v/>
      </c>
      <c r="N4" s="25" t="n"/>
    </row>
    <row r="5">
      <c r="A5" s="18" t="n">
        <v>46083</v>
      </c>
      <c r="B5" s="25" t="inlineStr">
        <is>
          <t>上海某旅行社华东线</t>
        </is>
      </c>
      <c r="C5" s="30" t="n">
        <v>430</v>
      </c>
      <c r="D5" s="30" t="n">
        <v>660</v>
      </c>
      <c r="E5" s="19" t="n">
        <v>60</v>
      </c>
      <c r="F5" s="20" t="n">
        <v>0.78</v>
      </c>
      <c r="G5" s="21">
        <f>IFERROR($C5/$D5,"")</f>
        <v/>
      </c>
      <c r="H5" s="9">
        <f>IF($G5="","",IF($G5&gt;=0.85,"R≥85%",IF($G5&gt;=0.75,"75%≤R&lt;85%",IF($G5&gt;=0.65,"65%≤R&lt;75%",IF($G5&gt;=0.55,"55%≤R&lt;65%","R&lt;55%")))))</f>
        <v/>
      </c>
      <c r="I5" s="9">
        <f>IF($F5="","",IF($F5&lt;0.7,"&lt;70%",IF($F5&lt;=0.85,"70-85%","&gt;85%")))</f>
        <v/>
      </c>
      <c r="J5" s="6">
        <f>IF(OR($G5="",$F5=""),"",IF($G5&gt;=0.85,IF($F5&lt;0.7,"接受",IF($F5&lt;=0.85,"接受","接受（≤10 间）")),IF($G5&gt;=0.75,IF($F5&lt;0.7,"接受",IF($F5&lt;=0.85,"接受（≤20 间）","上报 L3")),IF($G5&gt;=0.65,IF($F5&lt;0.7,"接受（≤30 间）",IF($F5&lt;=0.85,"上报 L3","拒绝")),IF($G5&gt;=0.55,IF($F5&lt;0.7,"上报 L3","拒绝"),"拒绝")))))</f>
        <v/>
      </c>
      <c r="K5" s="24">
        <f>IF($G5="","",IF(AND($G5&gt;=0.85,$F5&gt;0.85),10,IF(AND($G5&gt;=0.75,$F5&gt;=0.7,$F5&lt;=0.85),20,IF(AND($G5&gt;=0.65,$F5&lt;0.7),30,IF(OR($J5="拒绝",$J5="上报 L3"),0,$E5)))))</f>
        <v/>
      </c>
      <c r="L5" s="31">
        <f>IFERROR($C5*$E5,"")</f>
        <v/>
      </c>
      <c r="M5" s="31">
        <f>IFERROR($E5*($D5-$C5),"")</f>
        <v/>
      </c>
      <c r="N5" s="25" t="n"/>
    </row>
    <row r="6">
      <c r="A6" s="18" t="n">
        <v>46084</v>
      </c>
      <c r="B6" s="25" t="inlineStr">
        <is>
          <t>滨江动漫节参展团</t>
        </is>
      </c>
      <c r="C6" s="30" t="n">
        <v>620</v>
      </c>
      <c r="D6" s="30" t="n">
        <v>720</v>
      </c>
      <c r="E6" s="19" t="n">
        <v>25</v>
      </c>
      <c r="F6" s="20" t="n">
        <v>0.93</v>
      </c>
      <c r="G6" s="21">
        <f>IFERROR($C6/$D6,"")</f>
        <v/>
      </c>
      <c r="H6" s="9">
        <f>IF($G6="","",IF($G6&gt;=0.85,"R≥85%",IF($G6&gt;=0.75,"75%≤R&lt;85%",IF($G6&gt;=0.65,"65%≤R&lt;75%",IF($G6&gt;=0.55,"55%≤R&lt;65%","R&lt;55%")))))</f>
        <v/>
      </c>
      <c r="I6" s="9">
        <f>IF($F6="","",IF($F6&lt;0.7,"&lt;70%",IF($F6&lt;=0.85,"70-85%","&gt;85%")))</f>
        <v/>
      </c>
      <c r="J6" s="6">
        <f>IF(OR($G6="",$F6=""),"",IF($G6&gt;=0.85,IF($F6&lt;0.7,"接受",IF($F6&lt;=0.85,"接受","接受（≤10 间）")),IF($G6&gt;=0.75,IF($F6&lt;0.7,"接受",IF($F6&lt;=0.85,"接受（≤20 间）","上报 L3")),IF($G6&gt;=0.65,IF($F6&lt;0.7,"接受（≤30 间）",IF($F6&lt;=0.85,"上报 L3","拒绝")),IF($G6&gt;=0.55,IF($F6&lt;0.7,"上报 L3","拒绝"),"拒绝")))))</f>
        <v/>
      </c>
      <c r="K6" s="24">
        <f>IF($G6="","",IF(AND($G6&gt;=0.85,$F6&gt;0.85),10,IF(AND($G6&gt;=0.75,$F6&gt;=0.7,$F6&lt;=0.85),20,IF(AND($G6&gt;=0.65,$F6&lt;0.7),30,IF(OR($J6="拒绝",$J6="上报 L3"),0,$E6)))))</f>
        <v/>
      </c>
      <c r="L6" s="31">
        <f>IFERROR($C6*$E6,"")</f>
        <v/>
      </c>
      <c r="M6" s="31">
        <f>IFERROR($E6*($D6-$C6),"")</f>
        <v/>
      </c>
      <c r="N6" s="25" t="n"/>
    </row>
    <row r="7">
      <c r="A7" s="18" t="n">
        <v>46085</v>
      </c>
      <c r="B7" s="25" t="inlineStr">
        <is>
          <t>某医药公司区域会</t>
        </is>
      </c>
      <c r="C7" s="30" t="n">
        <v>520</v>
      </c>
      <c r="D7" s="30" t="n">
        <v>700</v>
      </c>
      <c r="E7" s="19" t="n">
        <v>30</v>
      </c>
      <c r="F7" s="20" t="n">
        <v>0.71</v>
      </c>
      <c r="G7" s="21">
        <f>IFERROR($C7/$D7,"")</f>
        <v/>
      </c>
      <c r="H7" s="9">
        <f>IF($G7="","",IF($G7&gt;=0.85,"R≥85%",IF($G7&gt;=0.75,"75%≤R&lt;85%",IF($G7&gt;=0.65,"65%≤R&lt;75%",IF($G7&gt;=0.55,"55%≤R&lt;65%","R&lt;55%")))))</f>
        <v/>
      </c>
      <c r="I7" s="9">
        <f>IF($F7="","",IF($F7&lt;0.7,"&lt;70%",IF($F7&lt;=0.85,"70-85%","&gt;85%")))</f>
        <v/>
      </c>
      <c r="J7" s="6">
        <f>IF(OR($G7="",$F7=""),"",IF($G7&gt;=0.85,IF($F7&lt;0.7,"接受",IF($F7&lt;=0.85,"接受","接受（≤10 间）")),IF($G7&gt;=0.75,IF($F7&lt;0.7,"接受",IF($F7&lt;=0.85,"接受（≤20 间）","上报 L3")),IF($G7&gt;=0.65,IF($F7&lt;0.7,"接受（≤30 间）",IF($F7&lt;=0.85,"上报 L3","拒绝")),IF($G7&gt;=0.55,IF($F7&lt;0.7,"上报 L3","拒绝"),"拒绝")))))</f>
        <v/>
      </c>
      <c r="K7" s="24">
        <f>IF($G7="","",IF(AND($G7&gt;=0.85,$F7&gt;0.85),10,IF(AND($G7&gt;=0.75,$F7&gt;=0.7,$F7&lt;=0.85),20,IF(AND($G7&gt;=0.65,$F7&lt;0.7),30,IF(OR($J7="拒绝",$J7="上报 L3"),0,$E7)))))</f>
        <v/>
      </c>
      <c r="L7" s="31">
        <f>IFERROR($C7*$E7,"")</f>
        <v/>
      </c>
      <c r="M7" s="31">
        <f>IFERROR($E7*($D7-$C7),"")</f>
        <v/>
      </c>
      <c r="N7" s="25" t="n"/>
    </row>
    <row r="8">
      <c r="A8" s="18" t="n">
        <v>46086</v>
      </c>
      <c r="B8" s="25" t="inlineStr">
        <is>
          <t>网络平台包房商</t>
        </is>
      </c>
      <c r="C8" s="30" t="n">
        <v>380</v>
      </c>
      <c r="D8" s="30" t="n">
        <v>640</v>
      </c>
      <c r="E8" s="19" t="n">
        <v>80</v>
      </c>
      <c r="F8" s="20" t="n">
        <v>0.55</v>
      </c>
      <c r="G8" s="21">
        <f>IFERROR($C8/$D8,"")</f>
        <v/>
      </c>
      <c r="H8" s="9">
        <f>IF($G8="","",IF($G8&gt;=0.85,"R≥85%",IF($G8&gt;=0.75,"75%≤R&lt;85%",IF($G8&gt;=0.65,"65%≤R&lt;75%",IF($G8&gt;=0.55,"55%≤R&lt;65%","R&lt;55%")))))</f>
        <v/>
      </c>
      <c r="I8" s="9">
        <f>IF($F8="","",IF($F8&lt;0.7,"&lt;70%",IF($F8&lt;=0.85,"70-85%","&gt;85%")))</f>
        <v/>
      </c>
      <c r="J8" s="6">
        <f>IF(OR($G8="",$F8=""),"",IF($G8&gt;=0.85,IF($F8&lt;0.7,"接受",IF($F8&lt;=0.85,"接受","接受（≤10 间）")),IF($G8&gt;=0.75,IF($F8&lt;0.7,"接受",IF($F8&lt;=0.85,"接受（≤20 间）","上报 L3")),IF($G8&gt;=0.65,IF($F8&lt;0.7,"接受（≤30 间）",IF($F8&lt;=0.85,"上报 L3","拒绝")),IF($G8&gt;=0.55,IF($F8&lt;0.7,"上报 L3","拒绝"),"拒绝")))))</f>
        <v/>
      </c>
      <c r="K8" s="24">
        <f>IF($G8="","",IF(AND($G8&gt;=0.85,$F8&gt;0.85),10,IF(AND($G8&gt;=0.75,$F8&gt;=0.7,$F8&lt;=0.85),20,IF(AND($G8&gt;=0.65,$F8&lt;0.7),30,IF(OR($J8="拒绝",$J8="上报 L3"),0,$E8)))))</f>
        <v/>
      </c>
      <c r="L8" s="31">
        <f>IFERROR($C8*$E8,"")</f>
        <v/>
      </c>
      <c r="M8" s="31">
        <f>IFERROR($E8*($D8-$C8),"")</f>
        <v/>
      </c>
      <c r="N8" s="25" t="n"/>
    </row>
    <row r="9">
      <c r="A9" s="18" t="n">
        <v>46087</v>
      </c>
      <c r="B9" s="25" t="inlineStr">
        <is>
          <t>某高校校友返校</t>
        </is>
      </c>
      <c r="C9" s="30" t="n">
        <v>480</v>
      </c>
      <c r="D9" s="30" t="n">
        <v>690</v>
      </c>
      <c r="E9" s="19" t="n">
        <v>45</v>
      </c>
      <c r="F9" s="20" t="n">
        <v>0.82</v>
      </c>
      <c r="G9" s="21">
        <f>IFERROR($C9/$D9,"")</f>
        <v/>
      </c>
      <c r="H9" s="9">
        <f>IF($G9="","",IF($G9&gt;=0.85,"R≥85%",IF($G9&gt;=0.75,"75%≤R&lt;85%",IF($G9&gt;=0.65,"65%≤R&lt;75%",IF($G9&gt;=0.55,"55%≤R&lt;65%","R&lt;55%")))))</f>
        <v/>
      </c>
      <c r="I9" s="9">
        <f>IF($F9="","",IF($F9&lt;0.7,"&lt;70%",IF($F9&lt;=0.85,"70-85%","&gt;85%")))</f>
        <v/>
      </c>
      <c r="J9" s="6">
        <f>IF(OR($G9="",$F9=""),"",IF($G9&gt;=0.85,IF($F9&lt;0.7,"接受",IF($F9&lt;=0.85,"接受","接受（≤10 间）")),IF($G9&gt;=0.75,IF($F9&lt;0.7,"接受",IF($F9&lt;=0.85,"接受（≤20 间）","上报 L3")),IF($G9&gt;=0.65,IF($F9&lt;0.7,"接受（≤30 间）",IF($F9&lt;=0.85,"上报 L3","拒绝")),IF($G9&gt;=0.55,IF($F9&lt;0.7,"上报 L3","拒绝"),"拒绝")))))</f>
        <v/>
      </c>
      <c r="K9" s="24">
        <f>IF($G9="","",IF(AND($G9&gt;=0.85,$F9&gt;0.85),10,IF(AND($G9&gt;=0.75,$F9&gt;=0.7,$F9&lt;=0.85),20,IF(AND($G9&gt;=0.65,$F9&lt;0.7),30,IF(OR($J9="拒绝",$J9="上报 L3"),0,$E9)))))</f>
        <v/>
      </c>
      <c r="L9" s="31">
        <f>IFERROR($C9*$E9,"")</f>
        <v/>
      </c>
      <c r="M9" s="31">
        <f>IFERROR($E9*($D9-$C9),"")</f>
        <v/>
      </c>
      <c r="N9" s="25" t="n"/>
    </row>
    <row r="10">
      <c r="A10" s="18" t="n">
        <v>46088</v>
      </c>
      <c r="B10" s="25" t="inlineStr">
        <is>
          <t>政府事业单位会议</t>
        </is>
      </c>
      <c r="C10" s="30" t="n">
        <v>600</v>
      </c>
      <c r="D10" s="30" t="n">
        <v>680</v>
      </c>
      <c r="E10" s="19" t="n">
        <v>20</v>
      </c>
      <c r="F10" s="20" t="n">
        <v>0.88</v>
      </c>
      <c r="G10" s="21">
        <f>IFERROR($C10/$D10,"")</f>
        <v/>
      </c>
      <c r="H10" s="9">
        <f>IF($G10="","",IF($G10&gt;=0.85,"R≥85%",IF($G10&gt;=0.75,"75%≤R&lt;85%",IF($G10&gt;=0.65,"65%≤R&lt;75%",IF($G10&gt;=0.55,"55%≤R&lt;65%","R&lt;55%")))))</f>
        <v/>
      </c>
      <c r="I10" s="9">
        <f>IF($F10="","",IF($F10&lt;0.7,"&lt;70%",IF($F10&lt;=0.85,"70-85%","&gt;85%")))</f>
        <v/>
      </c>
      <c r="J10" s="6">
        <f>IF(OR($G10="",$F10=""),"",IF($G10&gt;=0.85,IF($F10&lt;0.7,"接受",IF($F10&lt;=0.85,"接受","接受（≤10 间）")),IF($G10&gt;=0.75,IF($F10&lt;0.7,"接受",IF($F10&lt;=0.85,"接受（≤20 间）","上报 L3")),IF($G10&gt;=0.65,IF($F10&lt;0.7,"接受（≤30 间）",IF($F10&lt;=0.85,"上报 L3","拒绝")),IF($G10&gt;=0.55,IF($F10&lt;0.7,"上报 L3","拒绝"),"拒绝")))))</f>
        <v/>
      </c>
      <c r="K10" s="24">
        <f>IF($G10="","",IF(AND($G10&gt;=0.85,$F10&gt;0.85),10,IF(AND($G10&gt;=0.75,$F10&gt;=0.7,$F10&lt;=0.85),20,IF(AND($G10&gt;=0.65,$F10&lt;0.7),30,IF(OR($J10="拒绝",$J10="上报 L3"),0,$E10)))))</f>
        <v/>
      </c>
      <c r="L10" s="31">
        <f>IFERROR($C10*$E10,"")</f>
        <v/>
      </c>
      <c r="M10" s="31">
        <f>IFERROR($E10*($D10-$C10),"")</f>
        <v/>
      </c>
      <c r="N10" s="25" t="n"/>
    </row>
    <row r="11">
      <c r="A11" s="18" t="n"/>
      <c r="B11" s="25" t="n"/>
      <c r="C11" s="30" t="n"/>
      <c r="D11" s="30" t="n"/>
      <c r="E11" s="19" t="n"/>
      <c r="F11" s="20" t="n"/>
      <c r="G11" s="21">
        <f>IFERROR($C11/$D11,"")</f>
        <v/>
      </c>
      <c r="H11" s="9">
        <f>IF($G11="","",IF($G11&gt;=0.85,"R≥85%",IF($G11&gt;=0.75,"75%≤R&lt;85%",IF($G11&gt;=0.65,"65%≤R&lt;75%",IF($G11&gt;=0.55,"55%≤R&lt;65%","R&lt;55%")))))</f>
        <v/>
      </c>
      <c r="I11" s="9">
        <f>IF($F11="","",IF($F11&lt;0.7,"&lt;70%",IF($F11&lt;=0.85,"70-85%","&gt;85%")))</f>
        <v/>
      </c>
      <c r="J11" s="6">
        <f>IF(OR($G11="",$F11=""),"",IF($G11&gt;=0.85,IF($F11&lt;0.7,"接受",IF($F11&lt;=0.85,"接受","接受（≤10 间）")),IF($G11&gt;=0.75,IF($F11&lt;0.7,"接受",IF($F11&lt;=0.85,"接受（≤20 间）","上报 L3")),IF($G11&gt;=0.65,IF($F11&lt;0.7,"接受（≤30 间）",IF($F11&lt;=0.85,"上报 L3","拒绝")),IF($G11&gt;=0.55,IF($F11&lt;0.7,"上报 L3","拒绝"),"拒绝")))))</f>
        <v/>
      </c>
      <c r="K11" s="24">
        <f>IF($G11="","",IF(AND($G11&gt;=0.85,$F11&gt;0.85),10,IF(AND($G11&gt;=0.75,$F11&gt;=0.7,$F11&lt;=0.85),20,IF(AND($G11&gt;=0.65,$F11&lt;0.7),30,IF(OR($J11="拒绝",$J11="上报 L3"),0,$E11)))))</f>
        <v/>
      </c>
      <c r="L11" s="31">
        <f>IFERROR($C11*$E11,"")</f>
        <v/>
      </c>
      <c r="M11" s="31">
        <f>IFERROR($E11*($D11-$C11),"")</f>
        <v/>
      </c>
      <c r="N11" s="25" t="n"/>
    </row>
    <row r="12">
      <c r="A12" s="18" t="n"/>
      <c r="B12" s="25" t="n"/>
      <c r="C12" s="30" t="n"/>
      <c r="D12" s="30" t="n"/>
      <c r="E12" s="19" t="n"/>
      <c r="F12" s="20" t="n"/>
      <c r="G12" s="21">
        <f>IFERROR($C12/$D12,"")</f>
        <v/>
      </c>
      <c r="H12" s="9">
        <f>IF($G12="","",IF($G12&gt;=0.85,"R≥85%",IF($G12&gt;=0.75,"75%≤R&lt;85%",IF($G12&gt;=0.65,"65%≤R&lt;75%",IF($G12&gt;=0.55,"55%≤R&lt;65%","R&lt;55%")))))</f>
        <v/>
      </c>
      <c r="I12" s="9">
        <f>IF($F12="","",IF($F12&lt;0.7,"&lt;70%",IF($F12&lt;=0.85,"70-85%","&gt;85%")))</f>
        <v/>
      </c>
      <c r="J12" s="6">
        <f>IF(OR($G12="",$F12=""),"",IF($G12&gt;=0.85,IF($F12&lt;0.7,"接受",IF($F12&lt;=0.85,"接受","接受（≤10 间）")),IF($G12&gt;=0.75,IF($F12&lt;0.7,"接受",IF($F12&lt;=0.85,"接受（≤20 间）","上报 L3")),IF($G12&gt;=0.65,IF($F12&lt;0.7,"接受（≤30 间）",IF($F12&lt;=0.85,"上报 L3","拒绝")),IF($G12&gt;=0.55,IF($F12&lt;0.7,"上报 L3","拒绝"),"拒绝")))))</f>
        <v/>
      </c>
      <c r="K12" s="24">
        <f>IF($G12="","",IF(AND($G12&gt;=0.85,$F12&gt;0.85),10,IF(AND($G12&gt;=0.75,$F12&gt;=0.7,$F12&lt;=0.85),20,IF(AND($G12&gt;=0.65,$F12&lt;0.7),30,IF(OR($J12="拒绝",$J12="上报 L3"),0,$E12)))))</f>
        <v/>
      </c>
      <c r="L12" s="31">
        <f>IFERROR($C12*$E12,"")</f>
        <v/>
      </c>
      <c r="M12" s="31">
        <f>IFERROR($E12*($D12-$C12),"")</f>
        <v/>
      </c>
      <c r="N12" s="25" t="n"/>
    </row>
    <row r="13">
      <c r="A13" s="18" t="n"/>
      <c r="B13" s="25" t="n"/>
      <c r="C13" s="30" t="n"/>
      <c r="D13" s="30" t="n"/>
      <c r="E13" s="19" t="n"/>
      <c r="F13" s="20" t="n"/>
      <c r="G13" s="21">
        <f>IFERROR($C13/$D13,"")</f>
        <v/>
      </c>
      <c r="H13" s="9">
        <f>IF($G13="","",IF($G13&gt;=0.85,"R≥85%",IF($G13&gt;=0.75,"75%≤R&lt;85%",IF($G13&gt;=0.65,"65%≤R&lt;75%",IF($G13&gt;=0.55,"55%≤R&lt;65%","R&lt;55%")))))</f>
        <v/>
      </c>
      <c r="I13" s="9">
        <f>IF($F13="","",IF($F13&lt;0.7,"&lt;70%",IF($F13&lt;=0.85,"70-85%","&gt;85%")))</f>
        <v/>
      </c>
      <c r="J13" s="6">
        <f>IF(OR($G13="",$F13=""),"",IF($G13&gt;=0.85,IF($F13&lt;0.7,"接受",IF($F13&lt;=0.85,"接受","接受（≤10 间）")),IF($G13&gt;=0.75,IF($F13&lt;0.7,"接受",IF($F13&lt;=0.85,"接受（≤20 间）","上报 L3")),IF($G13&gt;=0.65,IF($F13&lt;0.7,"接受（≤30 间）",IF($F13&lt;=0.85,"上报 L3","拒绝")),IF($G13&gt;=0.55,IF($F13&lt;0.7,"上报 L3","拒绝"),"拒绝")))))</f>
        <v/>
      </c>
      <c r="K13" s="24">
        <f>IF($G13="","",IF(AND($G13&gt;=0.85,$F13&gt;0.85),10,IF(AND($G13&gt;=0.75,$F13&gt;=0.7,$F13&lt;=0.85),20,IF(AND($G13&gt;=0.65,$F13&lt;0.7),30,IF(OR($J13="拒绝",$J13="上报 L3"),0,$E13)))))</f>
        <v/>
      </c>
      <c r="L13" s="31">
        <f>IFERROR($C13*$E13,"")</f>
        <v/>
      </c>
      <c r="M13" s="31">
        <f>IFERROR($E13*($D13-$C13),"")</f>
        <v/>
      </c>
      <c r="N13" s="25" t="n"/>
    </row>
    <row r="14">
      <c r="A14" s="18" t="n"/>
      <c r="B14" s="25" t="n"/>
      <c r="C14" s="30" t="n"/>
      <c r="D14" s="30" t="n"/>
      <c r="E14" s="19" t="n"/>
      <c r="F14" s="20" t="n"/>
      <c r="G14" s="21">
        <f>IFERROR($C14/$D14,"")</f>
        <v/>
      </c>
      <c r="H14" s="9">
        <f>IF($G14="","",IF($G14&gt;=0.85,"R≥85%",IF($G14&gt;=0.75,"75%≤R&lt;85%",IF($G14&gt;=0.65,"65%≤R&lt;75%",IF($G14&gt;=0.55,"55%≤R&lt;65%","R&lt;55%")))))</f>
        <v/>
      </c>
      <c r="I14" s="9">
        <f>IF($F14="","",IF($F14&lt;0.7,"&lt;70%",IF($F14&lt;=0.85,"70-85%","&gt;85%")))</f>
        <v/>
      </c>
      <c r="J14" s="6">
        <f>IF(OR($G14="",$F14=""),"",IF($G14&gt;=0.85,IF($F14&lt;0.7,"接受",IF($F14&lt;=0.85,"接受","接受（≤10 间）")),IF($G14&gt;=0.75,IF($F14&lt;0.7,"接受",IF($F14&lt;=0.85,"接受（≤20 间）","上报 L3")),IF($G14&gt;=0.65,IF($F14&lt;0.7,"接受（≤30 间）",IF($F14&lt;=0.85,"上报 L3","拒绝")),IF($G14&gt;=0.55,IF($F14&lt;0.7,"上报 L3","拒绝"),"拒绝")))))</f>
        <v/>
      </c>
      <c r="K14" s="24">
        <f>IF($G14="","",IF(AND($G14&gt;=0.85,$F14&gt;0.85),10,IF(AND($G14&gt;=0.75,$F14&gt;=0.7,$F14&lt;=0.85),20,IF(AND($G14&gt;=0.65,$F14&lt;0.7),30,IF(OR($J14="拒绝",$J14="上报 L3"),0,$E14)))))</f>
        <v/>
      </c>
      <c r="L14" s="31">
        <f>IFERROR($C14*$E14,"")</f>
        <v/>
      </c>
      <c r="M14" s="31">
        <f>IFERROR($E14*($D14-$C14),"")</f>
        <v/>
      </c>
      <c r="N14" s="25" t="n"/>
    </row>
    <row r="15">
      <c r="A15" s="18" t="n"/>
      <c r="B15" s="25" t="n"/>
      <c r="C15" s="30" t="n"/>
      <c r="D15" s="30" t="n"/>
      <c r="E15" s="19" t="n"/>
      <c r="F15" s="20" t="n"/>
      <c r="G15" s="21">
        <f>IFERROR($C15/$D15,"")</f>
        <v/>
      </c>
      <c r="H15" s="9">
        <f>IF($G15="","",IF($G15&gt;=0.85,"R≥85%",IF($G15&gt;=0.75,"75%≤R&lt;85%",IF($G15&gt;=0.65,"65%≤R&lt;75%",IF($G15&gt;=0.55,"55%≤R&lt;65%","R&lt;55%")))))</f>
        <v/>
      </c>
      <c r="I15" s="9">
        <f>IF($F15="","",IF($F15&lt;0.7,"&lt;70%",IF($F15&lt;=0.85,"70-85%","&gt;85%")))</f>
        <v/>
      </c>
      <c r="J15" s="6">
        <f>IF(OR($G15="",$F15=""),"",IF($G15&gt;=0.85,IF($F15&lt;0.7,"接受",IF($F15&lt;=0.85,"接受","接受（≤10 间）")),IF($G15&gt;=0.75,IF($F15&lt;0.7,"接受",IF($F15&lt;=0.85,"接受（≤20 间）","上报 L3")),IF($G15&gt;=0.65,IF($F15&lt;0.7,"接受（≤30 间）",IF($F15&lt;=0.85,"上报 L3","拒绝")),IF($G15&gt;=0.55,IF($F15&lt;0.7,"上报 L3","拒绝"),"拒绝")))))</f>
        <v/>
      </c>
      <c r="K15" s="24">
        <f>IF($G15="","",IF(AND($G15&gt;=0.85,$F15&gt;0.85),10,IF(AND($G15&gt;=0.75,$F15&gt;=0.7,$F15&lt;=0.85),20,IF(AND($G15&gt;=0.65,$F15&lt;0.7),30,IF(OR($J15="拒绝",$J15="上报 L3"),0,$E15)))))</f>
        <v/>
      </c>
      <c r="L15" s="31">
        <f>IFERROR($C15*$E15,"")</f>
        <v/>
      </c>
      <c r="M15" s="31">
        <f>IFERROR($E15*($D15-$C15),"")</f>
        <v/>
      </c>
      <c r="N15" s="25" t="n"/>
    </row>
    <row r="16">
      <c r="A16" s="18" t="n"/>
      <c r="B16" s="25" t="n"/>
      <c r="C16" s="30" t="n"/>
      <c r="D16" s="30" t="n"/>
      <c r="E16" s="19" t="n"/>
      <c r="F16" s="20" t="n"/>
      <c r="G16" s="21">
        <f>IFERROR($C16/$D16,"")</f>
        <v/>
      </c>
      <c r="H16" s="9">
        <f>IF($G16="","",IF($G16&gt;=0.85,"R≥85%",IF($G16&gt;=0.75,"75%≤R&lt;85%",IF($G16&gt;=0.65,"65%≤R&lt;75%",IF($G16&gt;=0.55,"55%≤R&lt;65%","R&lt;55%")))))</f>
        <v/>
      </c>
      <c r="I16" s="9">
        <f>IF($F16="","",IF($F16&lt;0.7,"&lt;70%",IF($F16&lt;=0.85,"70-85%","&gt;85%")))</f>
        <v/>
      </c>
      <c r="J16" s="6">
        <f>IF(OR($G16="",$F16=""),"",IF($G16&gt;=0.85,IF($F16&lt;0.7,"接受",IF($F16&lt;=0.85,"接受","接受（≤10 间）")),IF($G16&gt;=0.75,IF($F16&lt;0.7,"接受",IF($F16&lt;=0.85,"接受（≤20 间）","上报 L3")),IF($G16&gt;=0.65,IF($F16&lt;0.7,"接受（≤30 间）",IF($F16&lt;=0.85,"上报 L3","拒绝")),IF($G16&gt;=0.55,IF($F16&lt;0.7,"上报 L3","拒绝"),"拒绝")))))</f>
        <v/>
      </c>
      <c r="K16" s="24">
        <f>IF($G16="","",IF(AND($G16&gt;=0.85,$F16&gt;0.85),10,IF(AND($G16&gt;=0.75,$F16&gt;=0.7,$F16&lt;=0.85),20,IF(AND($G16&gt;=0.65,$F16&lt;0.7),30,IF(OR($J16="拒绝",$J16="上报 L3"),0,$E16)))))</f>
        <v/>
      </c>
      <c r="L16" s="31">
        <f>IFERROR($C16*$E16,"")</f>
        <v/>
      </c>
      <c r="M16" s="31">
        <f>IFERROR($E16*($D16-$C16),"")</f>
        <v/>
      </c>
      <c r="N16" s="25" t="n"/>
    </row>
    <row r="17">
      <c r="A17" s="18" t="n"/>
      <c r="B17" s="25" t="n"/>
      <c r="C17" s="30" t="n"/>
      <c r="D17" s="30" t="n"/>
      <c r="E17" s="19" t="n"/>
      <c r="F17" s="20" t="n"/>
      <c r="G17" s="21">
        <f>IFERROR($C17/$D17,"")</f>
        <v/>
      </c>
      <c r="H17" s="9">
        <f>IF($G17="","",IF($G17&gt;=0.85,"R≥85%",IF($G17&gt;=0.75,"75%≤R&lt;85%",IF($G17&gt;=0.65,"65%≤R&lt;75%",IF($G17&gt;=0.55,"55%≤R&lt;65%","R&lt;55%")))))</f>
        <v/>
      </c>
      <c r="I17" s="9">
        <f>IF($F17="","",IF($F17&lt;0.7,"&lt;70%",IF($F17&lt;=0.85,"70-85%","&gt;85%")))</f>
        <v/>
      </c>
      <c r="J17" s="6">
        <f>IF(OR($G17="",$F17=""),"",IF($G17&gt;=0.85,IF($F17&lt;0.7,"接受",IF($F17&lt;=0.85,"接受","接受（≤10 间）")),IF($G17&gt;=0.75,IF($F17&lt;0.7,"接受",IF($F17&lt;=0.85,"接受（≤20 间）","上报 L3")),IF($G17&gt;=0.65,IF($F17&lt;0.7,"接受（≤30 间）",IF($F17&lt;=0.85,"上报 L3","拒绝")),IF($G17&gt;=0.55,IF($F17&lt;0.7,"上报 L3","拒绝"),"拒绝")))))</f>
        <v/>
      </c>
      <c r="K17" s="24">
        <f>IF($G17="","",IF(AND($G17&gt;=0.85,$F17&gt;0.85),10,IF(AND($G17&gt;=0.75,$F17&gt;=0.7,$F17&lt;=0.85),20,IF(AND($G17&gt;=0.65,$F17&lt;0.7),30,IF(OR($J17="拒绝",$J17="上报 L3"),0,$E17)))))</f>
        <v/>
      </c>
      <c r="L17" s="31">
        <f>IFERROR($C17*$E17,"")</f>
        <v/>
      </c>
      <c r="M17" s="31">
        <f>IFERROR($E17*($D17-$C17),"")</f>
        <v/>
      </c>
      <c r="N17" s="25" t="n"/>
    </row>
    <row r="18">
      <c r="A18" s="18" t="n"/>
      <c r="B18" s="25" t="n"/>
      <c r="C18" s="30" t="n"/>
      <c r="D18" s="30" t="n"/>
      <c r="E18" s="19" t="n"/>
      <c r="F18" s="20" t="n"/>
      <c r="G18" s="21">
        <f>IFERROR($C18/$D18,"")</f>
        <v/>
      </c>
      <c r="H18" s="9">
        <f>IF($G18="","",IF($G18&gt;=0.85,"R≥85%",IF($G18&gt;=0.75,"75%≤R&lt;85%",IF($G18&gt;=0.65,"65%≤R&lt;75%",IF($G18&gt;=0.55,"55%≤R&lt;65%","R&lt;55%")))))</f>
        <v/>
      </c>
      <c r="I18" s="9">
        <f>IF($F18="","",IF($F18&lt;0.7,"&lt;70%",IF($F18&lt;=0.85,"70-85%","&gt;85%")))</f>
        <v/>
      </c>
      <c r="J18" s="6">
        <f>IF(OR($G18="",$F18=""),"",IF($G18&gt;=0.85,IF($F18&lt;0.7,"接受",IF($F18&lt;=0.85,"接受","接受（≤10 间）")),IF($G18&gt;=0.75,IF($F18&lt;0.7,"接受",IF($F18&lt;=0.85,"接受（≤20 间）","上报 L3")),IF($G18&gt;=0.65,IF($F18&lt;0.7,"接受（≤30 间）",IF($F18&lt;=0.85,"上报 L3","拒绝")),IF($G18&gt;=0.55,IF($F18&lt;0.7,"上报 L3","拒绝"),"拒绝")))))</f>
        <v/>
      </c>
      <c r="K18" s="24">
        <f>IF($G18="","",IF(AND($G18&gt;=0.85,$F18&gt;0.85),10,IF(AND($G18&gt;=0.75,$F18&gt;=0.7,$F18&lt;=0.85),20,IF(AND($G18&gt;=0.65,$F18&lt;0.7),30,IF(OR($J18="拒绝",$J18="上报 L3"),0,$E18)))))</f>
        <v/>
      </c>
      <c r="L18" s="31">
        <f>IFERROR($C18*$E18,"")</f>
        <v/>
      </c>
      <c r="M18" s="31">
        <f>IFERROR($E18*($D18-$C18),"")</f>
        <v/>
      </c>
      <c r="N18" s="25" t="n"/>
    </row>
    <row r="19">
      <c r="A19" s="18" t="n"/>
      <c r="B19" s="25" t="n"/>
      <c r="C19" s="30" t="n"/>
      <c r="D19" s="30" t="n"/>
      <c r="E19" s="19" t="n"/>
      <c r="F19" s="20" t="n"/>
      <c r="G19" s="21">
        <f>IFERROR($C19/$D19,"")</f>
        <v/>
      </c>
      <c r="H19" s="9">
        <f>IF($G19="","",IF($G19&gt;=0.85,"R≥85%",IF($G19&gt;=0.75,"75%≤R&lt;85%",IF($G19&gt;=0.65,"65%≤R&lt;75%",IF($G19&gt;=0.55,"55%≤R&lt;65%","R&lt;55%")))))</f>
        <v/>
      </c>
      <c r="I19" s="9">
        <f>IF($F19="","",IF($F19&lt;0.7,"&lt;70%",IF($F19&lt;=0.85,"70-85%","&gt;85%")))</f>
        <v/>
      </c>
      <c r="J19" s="6">
        <f>IF(OR($G19="",$F19=""),"",IF($G19&gt;=0.85,IF($F19&lt;0.7,"接受",IF($F19&lt;=0.85,"接受","接受（≤10 间）")),IF($G19&gt;=0.75,IF($F19&lt;0.7,"接受",IF($F19&lt;=0.85,"接受（≤20 间）","上报 L3")),IF($G19&gt;=0.65,IF($F19&lt;0.7,"接受（≤30 间）",IF($F19&lt;=0.85,"上报 L3","拒绝")),IF($G19&gt;=0.55,IF($F19&lt;0.7,"上报 L3","拒绝"),"拒绝")))))</f>
        <v/>
      </c>
      <c r="K19" s="24">
        <f>IF($G19="","",IF(AND($G19&gt;=0.85,$F19&gt;0.85),10,IF(AND($G19&gt;=0.75,$F19&gt;=0.7,$F19&lt;=0.85),20,IF(AND($G19&gt;=0.65,$F19&lt;0.7),30,IF(OR($J19="拒绝",$J19="上报 L3"),0,$E19)))))</f>
        <v/>
      </c>
      <c r="L19" s="31">
        <f>IFERROR($C19*$E19,"")</f>
        <v/>
      </c>
      <c r="M19" s="31">
        <f>IFERROR($E19*($D19-$C19),"")</f>
        <v/>
      </c>
      <c r="N19" s="25" t="n"/>
    </row>
    <row r="20">
      <c r="A20" s="18" t="n"/>
      <c r="B20" s="25" t="n"/>
      <c r="C20" s="30" t="n"/>
      <c r="D20" s="30" t="n"/>
      <c r="E20" s="19" t="n"/>
      <c r="F20" s="20" t="n"/>
      <c r="G20" s="21">
        <f>IFERROR($C20/$D20,"")</f>
        <v/>
      </c>
      <c r="H20" s="9">
        <f>IF($G20="","",IF($G20&gt;=0.85,"R≥85%",IF($G20&gt;=0.75,"75%≤R&lt;85%",IF($G20&gt;=0.65,"65%≤R&lt;75%",IF($G20&gt;=0.55,"55%≤R&lt;65%","R&lt;55%")))))</f>
        <v/>
      </c>
      <c r="I20" s="9">
        <f>IF($F20="","",IF($F20&lt;0.7,"&lt;70%",IF($F20&lt;=0.85,"70-85%","&gt;85%")))</f>
        <v/>
      </c>
      <c r="J20" s="6">
        <f>IF(OR($G20="",$F20=""),"",IF($G20&gt;=0.85,IF($F20&lt;0.7,"接受",IF($F20&lt;=0.85,"接受","接受（≤10 间）")),IF($G20&gt;=0.75,IF($F20&lt;0.7,"接受",IF($F20&lt;=0.85,"接受（≤20 间）","上报 L3")),IF($G20&gt;=0.65,IF($F20&lt;0.7,"接受（≤30 间）",IF($F20&lt;=0.85,"上报 L3","拒绝")),IF($G20&gt;=0.55,IF($F20&lt;0.7,"上报 L3","拒绝"),"拒绝")))))</f>
        <v/>
      </c>
      <c r="K20" s="24">
        <f>IF($G20="","",IF(AND($G20&gt;=0.85,$F20&gt;0.85),10,IF(AND($G20&gt;=0.75,$F20&gt;=0.7,$F20&lt;=0.85),20,IF(AND($G20&gt;=0.65,$F20&lt;0.7),30,IF(OR($J20="拒绝",$J20="上报 L3"),0,$E20)))))</f>
        <v/>
      </c>
      <c r="L20" s="31">
        <f>IFERROR($C20*$E20,"")</f>
        <v/>
      </c>
      <c r="M20" s="31">
        <f>IFERROR($E20*($D20-$C20),"")</f>
        <v/>
      </c>
      <c r="N20" s="25" t="n"/>
    </row>
    <row r="21">
      <c r="A21" s="18" t="n"/>
      <c r="B21" s="25" t="n"/>
      <c r="C21" s="30" t="n"/>
      <c r="D21" s="30" t="n"/>
      <c r="E21" s="19" t="n"/>
      <c r="F21" s="20" t="n"/>
      <c r="G21" s="21">
        <f>IFERROR($C21/$D21,"")</f>
        <v/>
      </c>
      <c r="H21" s="9">
        <f>IF($G21="","",IF($G21&gt;=0.85,"R≥85%",IF($G21&gt;=0.75,"75%≤R&lt;85%",IF($G21&gt;=0.65,"65%≤R&lt;75%",IF($G21&gt;=0.55,"55%≤R&lt;65%","R&lt;55%")))))</f>
        <v/>
      </c>
      <c r="I21" s="9">
        <f>IF($F21="","",IF($F21&lt;0.7,"&lt;70%",IF($F21&lt;=0.85,"70-85%","&gt;85%")))</f>
        <v/>
      </c>
      <c r="J21" s="6">
        <f>IF(OR($G21="",$F21=""),"",IF($G21&gt;=0.85,IF($F21&lt;0.7,"接受",IF($F21&lt;=0.85,"接受","接受（≤10 间）")),IF($G21&gt;=0.75,IF($F21&lt;0.7,"接受",IF($F21&lt;=0.85,"接受（≤20 间）","上报 L3")),IF($G21&gt;=0.65,IF($F21&lt;0.7,"接受（≤30 间）",IF($F21&lt;=0.85,"上报 L3","拒绝")),IF($G21&gt;=0.55,IF($F21&lt;0.7,"上报 L3","拒绝"),"拒绝")))))</f>
        <v/>
      </c>
      <c r="K21" s="24">
        <f>IF($G21="","",IF(AND($G21&gt;=0.85,$F21&gt;0.85),10,IF(AND($G21&gt;=0.75,$F21&gt;=0.7,$F21&lt;=0.85),20,IF(AND($G21&gt;=0.65,$F21&lt;0.7),30,IF(OR($J21="拒绝",$J21="上报 L3"),0,$E21)))))</f>
        <v/>
      </c>
      <c r="L21" s="31">
        <f>IFERROR($C21*$E21,"")</f>
        <v/>
      </c>
      <c r="M21" s="31">
        <f>IFERROR($E21*($D21-$C21),"")</f>
        <v/>
      </c>
      <c r="N21" s="25" t="n"/>
    </row>
    <row r="22">
      <c r="A22" s="18" t="n"/>
      <c r="B22" s="25" t="n"/>
      <c r="C22" s="30" t="n"/>
      <c r="D22" s="30" t="n"/>
      <c r="E22" s="19" t="n"/>
      <c r="F22" s="20" t="n"/>
      <c r="G22" s="21">
        <f>IFERROR($C22/$D22,"")</f>
        <v/>
      </c>
      <c r="H22" s="9">
        <f>IF($G22="","",IF($G22&gt;=0.85,"R≥85%",IF($G22&gt;=0.75,"75%≤R&lt;85%",IF($G22&gt;=0.65,"65%≤R&lt;75%",IF($G22&gt;=0.55,"55%≤R&lt;65%","R&lt;55%")))))</f>
        <v/>
      </c>
      <c r="I22" s="9">
        <f>IF($F22="","",IF($F22&lt;0.7,"&lt;70%",IF($F22&lt;=0.85,"70-85%","&gt;85%")))</f>
        <v/>
      </c>
      <c r="J22" s="6">
        <f>IF(OR($G22="",$F22=""),"",IF($G22&gt;=0.85,IF($F22&lt;0.7,"接受",IF($F22&lt;=0.85,"接受","接受（≤10 间）")),IF($G22&gt;=0.75,IF($F22&lt;0.7,"接受",IF($F22&lt;=0.85,"接受（≤20 间）","上报 L3")),IF($G22&gt;=0.65,IF($F22&lt;0.7,"接受（≤30 间）",IF($F22&lt;=0.85,"上报 L3","拒绝")),IF($G22&gt;=0.55,IF($F22&lt;0.7,"上报 L3","拒绝"),"拒绝")))))</f>
        <v/>
      </c>
      <c r="K22" s="24">
        <f>IF($G22="","",IF(AND($G22&gt;=0.85,$F22&gt;0.85),10,IF(AND($G22&gt;=0.75,$F22&gt;=0.7,$F22&lt;=0.85),20,IF(AND($G22&gt;=0.65,$F22&lt;0.7),30,IF(OR($J22="拒绝",$J22="上报 L3"),0,$E22)))))</f>
        <v/>
      </c>
      <c r="L22" s="31">
        <f>IFERROR($C22*$E22,"")</f>
        <v/>
      </c>
      <c r="M22" s="31">
        <f>IFERROR($E22*($D22-$C22),"")</f>
        <v/>
      </c>
      <c r="N22" s="25" t="n"/>
    </row>
    <row r="23">
      <c r="A23" s="18" t="n"/>
      <c r="B23" s="25" t="n"/>
      <c r="C23" s="30" t="n"/>
      <c r="D23" s="30" t="n"/>
      <c r="E23" s="19" t="n"/>
      <c r="F23" s="20" t="n"/>
      <c r="G23" s="21">
        <f>IFERROR($C23/$D23,"")</f>
        <v/>
      </c>
      <c r="H23" s="9">
        <f>IF($G23="","",IF($G23&gt;=0.85,"R≥85%",IF($G23&gt;=0.75,"75%≤R&lt;85%",IF($G23&gt;=0.65,"65%≤R&lt;75%",IF($G23&gt;=0.55,"55%≤R&lt;65%","R&lt;55%")))))</f>
        <v/>
      </c>
      <c r="I23" s="9">
        <f>IF($F23="","",IF($F23&lt;0.7,"&lt;70%",IF($F23&lt;=0.85,"70-85%","&gt;85%")))</f>
        <v/>
      </c>
      <c r="J23" s="6">
        <f>IF(OR($G23="",$F23=""),"",IF($G23&gt;=0.85,IF($F23&lt;0.7,"接受",IF($F23&lt;=0.85,"接受","接受（≤10 间）")),IF($G23&gt;=0.75,IF($F23&lt;0.7,"接受",IF($F23&lt;=0.85,"接受（≤20 间）","上报 L3")),IF($G23&gt;=0.65,IF($F23&lt;0.7,"接受（≤30 间）",IF($F23&lt;=0.85,"上报 L3","拒绝")),IF($G23&gt;=0.55,IF($F23&lt;0.7,"上报 L3","拒绝"),"拒绝")))))</f>
        <v/>
      </c>
      <c r="K23" s="24">
        <f>IF($G23="","",IF(AND($G23&gt;=0.85,$F23&gt;0.85),10,IF(AND($G23&gt;=0.75,$F23&gt;=0.7,$F23&lt;=0.85),20,IF(AND($G23&gt;=0.65,$F23&lt;0.7),30,IF(OR($J23="拒绝",$J23="上报 L3"),0,$E23)))))</f>
        <v/>
      </c>
      <c r="L23" s="31">
        <f>IFERROR($C23*$E23,"")</f>
        <v/>
      </c>
      <c r="M23" s="31">
        <f>IFERROR($E23*($D23-$C23),"")</f>
        <v/>
      </c>
      <c r="N23" s="25" t="n"/>
    </row>
    <row r="25" ht="22" customHeight="1">
      <c r="A25" s="3" t="inlineStr">
        <is>
          <t>《法典》表 G · 团队/协议询价接受判定矩阵（5×3）</t>
        </is>
      </c>
    </row>
    <row r="26" ht="24" customHeight="1">
      <c r="A26" s="12" t="inlineStr">
        <is>
          <t>比率 R ＼ 预测 OCC</t>
        </is>
      </c>
      <c r="B26" s="12" t="inlineStr">
        <is>
          <t>&lt;70%</t>
        </is>
      </c>
      <c r="C26" s="12" t="inlineStr">
        <is>
          <t>70–85%</t>
        </is>
      </c>
      <c r="D26" s="12" t="inlineStr">
        <is>
          <t>&gt;85%</t>
        </is>
      </c>
      <c r="E26" s="12" t="inlineStr"/>
      <c r="F26" s="12" t="inlineStr"/>
      <c r="G26" s="12" t="inlineStr"/>
      <c r="H26" s="12" t="inlineStr"/>
      <c r="I26" s="12" t="inlineStr"/>
      <c r="J26" s="12" t="inlineStr"/>
      <c r="K26" s="12" t="inlineStr"/>
      <c r="L26" s="12" t="inlineStr"/>
      <c r="M26" s="12" t="inlineStr"/>
      <c r="N26" s="12" t="inlineStr"/>
    </row>
    <row r="27">
      <c r="A27" s="7" t="inlineStr">
        <is>
          <t>R ≥ 85%</t>
        </is>
      </c>
      <c r="B27" s="13" t="inlineStr">
        <is>
          <t>接受</t>
        </is>
      </c>
      <c r="C27" s="13" t="inlineStr">
        <is>
          <t>接受</t>
        </is>
      </c>
      <c r="D27" s="13" t="inlineStr">
        <is>
          <t>接受（≤10 间）</t>
        </is>
      </c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</row>
    <row r="28">
      <c r="A28" s="7" t="inlineStr">
        <is>
          <t>75% ≤ R &lt; 85%</t>
        </is>
      </c>
      <c r="B28" s="13" t="inlineStr">
        <is>
          <t>接受</t>
        </is>
      </c>
      <c r="C28" s="13" t="inlineStr">
        <is>
          <t>接受（≤20 间）</t>
        </is>
      </c>
      <c r="D28" s="13" t="inlineStr">
        <is>
          <t>上报 L3</t>
        </is>
      </c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</row>
    <row r="29">
      <c r="A29" s="7" t="inlineStr">
        <is>
          <t>65% ≤ R &lt; 75%</t>
        </is>
      </c>
      <c r="B29" s="13" t="inlineStr">
        <is>
          <t>接受（≤30 间）</t>
        </is>
      </c>
      <c r="C29" s="13" t="inlineStr">
        <is>
          <t>上报 L3</t>
        </is>
      </c>
      <c r="D29" s="13" t="inlineStr">
        <is>
          <t>拒绝</t>
        </is>
      </c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</row>
    <row r="30">
      <c r="A30" s="7" t="inlineStr">
        <is>
          <t>55% ≤ R &lt; 65%</t>
        </is>
      </c>
      <c r="B30" s="13" t="inlineStr">
        <is>
          <t>上报 L3</t>
        </is>
      </c>
      <c r="C30" s="13" t="inlineStr">
        <is>
          <t>拒绝</t>
        </is>
      </c>
      <c r="D30" s="13" t="inlineStr">
        <is>
          <t>拒绝</t>
        </is>
      </c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</row>
    <row r="31">
      <c r="A31" s="7" t="inlineStr">
        <is>
          <t>R &lt; 55%</t>
        </is>
      </c>
      <c r="B31" s="13" t="inlineStr">
        <is>
          <t>拒绝</t>
        </is>
      </c>
      <c r="C31" s="13" t="inlineStr">
        <is>
          <t>拒绝</t>
        </is>
      </c>
      <c r="D31" s="13" t="inlineStr">
        <is>
          <t>拒绝</t>
        </is>
      </c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</row>
    <row r="33" ht="30" customHeight="1">
      <c r="A33" s="32" t="inlineStr">
        <is>
          <t>置换成本 = 被挤占房晚数 ×（预期散客 ADR − 团队价）+ 被挤占的餐饮/其他边际收益（供 L3 复核）</t>
        </is>
      </c>
    </row>
    <row r="34" ht="30" customHeight="1">
      <c r="A34" s="32" t="inlineStr">
        <is>
          <t>全服务酒店附加条款（会议团队专属）：综合贡献 = 客房收入 + 餐饮收入 + 会场租金 + 其他；若综合贡献 ≥（占用房晚 × 预期散客 ADR × 85%），则即使 R&lt;55% 也可接受，但须 L3 审批并记入《团队决策档案》（见「会议综合贡献」页）</t>
        </is>
      </c>
    </row>
    <row r="35" ht="30" customHeight="1">
      <c r="A35" s="32" t="inlineStr">
        <is>
          <t>决策顺序：先问餐饮/宴会承接能力 → 再算综合贡献 → 最后查表 G 客房比率</t>
        </is>
      </c>
    </row>
  </sheetData>
  <mergeCells count="6">
    <mergeCell ref="A34:N34"/>
    <mergeCell ref="A35:N35"/>
    <mergeCell ref="A2:N2"/>
    <mergeCell ref="A25:N25"/>
    <mergeCell ref="A33:N33"/>
    <mergeCell ref="A1:N1"/>
  </mergeCells>
  <conditionalFormatting sqref="J4:J23">
    <cfRule type="expression" priority="1" dxfId="3">
      <formula>ISNUMBER(SEARCH("接受",$J4))</formula>
    </cfRule>
    <cfRule type="expression" priority="2" dxfId="4">
      <formula>ISNUMBER(SEARCH("上报 L3",$J4))</formula>
    </cfRule>
    <cfRule type="expression" priority="3" dxfId="0">
      <formula>ISNUMBER(SEARCH("拒绝",$J4))</formula>
    </cfRule>
  </conditionalFormatting>
  <dataValidations count="2">
    <dataValidation sqref="A4:A23" showDropDown="0" showInputMessage="0" showErrorMessage="0" allowBlank="1" type="date" operator="greaterThan">
      <formula1>DATE(2000,1,1)</formula1>
    </dataValidation>
    <dataValidation sqref="F4:F23" showDropDown="0" showInputMessage="0" showErrorMessage="1" allowBlank="1" errorTitle="超出范围" error="请输入 0 ~ 1 之间的数值" type="decimal" operator="between">
      <formula1>0</formula1>
      <formula2>1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2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1" customWidth="1" min="4" max="4"/>
    <col width="11" customWidth="1" min="5" max="5"/>
    <col width="12" customWidth="1" min="6" max="6"/>
    <col width="12" customWidth="1" min="7" max="7"/>
    <col width="11" customWidth="1" min="8" max="8"/>
    <col width="11" customWidth="1" min="9" max="9"/>
    <col width="11" customWidth="1" min="10" max="10"/>
    <col width="12" customWidth="1" min="11" max="11"/>
    <col width="12" customWidth="1" min="12" max="12"/>
    <col width="12" customWidth="1" min="13" max="13"/>
    <col width="12" customWidth="1" min="14" max="14"/>
    <col width="11" customWidth="1" min="15" max="15"/>
    <col width="12" customWidth="1" min="16" max="16"/>
    <col width="11" customWidth="1" min="17" max="17"/>
    <col width="11" customWidth="1" min="18" max="18"/>
    <col width="11" customWidth="1" min="19" max="19"/>
    <col width="30" customWidth="1" min="20" max="20"/>
    <col width="12" customWidth="1" min="21" max="21"/>
  </cols>
  <sheetData>
    <row r="1" ht="30" customHeight="1">
      <c r="A1" s="1" t="inlineStr">
        <is>
          <t>会议／宴会综合贡献 ·《法典》表 K + 表 G 附加条款</t>
        </is>
      </c>
    </row>
    <row r="2" ht="26" customHeight="1">
      <c r="A2" s="2" t="inlineStr">
        <is>
          <t>输入：规模、占用房晚、团队房价、餐饮收入、餐饮毛利率、会场租金、其他、预期散客 ADR。输出：综合贡献、接受底线与建议。</t>
        </is>
      </c>
    </row>
    <row r="3" ht="42" customHeight="1">
      <c r="A3" s="12" t="inlineStr">
        <is>
          <t>会议名称</t>
        </is>
      </c>
      <c r="B3" s="12" t="inlineStr">
        <is>
          <t>日期</t>
        </is>
      </c>
      <c r="C3" s="12" t="inlineStr">
        <is>
          <t>规模</t>
        </is>
      </c>
      <c r="D3" s="12" t="inlineStr">
        <is>
          <t>占用房晚</t>
        </is>
      </c>
      <c r="E3" s="12" t="inlineStr">
        <is>
          <t>团队房价</t>
        </is>
      </c>
      <c r="F3" s="12" t="inlineStr">
        <is>
          <t>客房收入</t>
        </is>
      </c>
      <c r="G3" s="12" t="inlineStr">
        <is>
          <t>餐饮收入</t>
        </is>
      </c>
      <c r="H3" s="12" t="inlineStr">
        <is>
          <t>餐饮毛利率</t>
        </is>
      </c>
      <c r="I3" s="12" t="inlineStr">
        <is>
          <t>餐饮毛利</t>
        </is>
      </c>
      <c r="J3" s="12" t="inlineStr">
        <is>
          <t>会场租金</t>
        </is>
      </c>
      <c r="K3" s="12" t="inlineStr">
        <is>
          <t>其他收入</t>
        </is>
      </c>
      <c r="L3" s="12" t="inlineStr">
        <is>
          <t>综合贡献</t>
        </is>
      </c>
      <c r="M3" s="12" t="inlineStr">
        <is>
          <t>预期散客 ADR</t>
        </is>
      </c>
      <c r="N3" s="12" t="inlineStr">
        <is>
          <t>客房置换成本</t>
        </is>
      </c>
      <c r="O3" s="12" t="inlineStr">
        <is>
          <t>底线系数</t>
        </is>
      </c>
      <c r="P3" s="12" t="inlineStr">
        <is>
          <t>接受底线</t>
        </is>
      </c>
      <c r="Q3" s="12" t="inlineStr">
        <is>
          <t>是否达标</t>
        </is>
      </c>
      <c r="R3" s="12" t="inlineStr">
        <is>
          <t>餐饮保底</t>
        </is>
      </c>
      <c r="S3" s="12" t="inlineStr">
        <is>
          <t>保底达标</t>
        </is>
      </c>
      <c r="T3" s="12" t="inlineStr">
        <is>
          <t>建议</t>
        </is>
      </c>
      <c r="U3" s="12" t="inlineStr">
        <is>
          <t>L3 审批</t>
        </is>
      </c>
    </row>
    <row r="4">
      <c r="A4" s="25" t="inlineStr">
        <is>
          <t>某科技公司季度会</t>
        </is>
      </c>
      <c r="B4" s="18" t="n">
        <v>46082</v>
      </c>
      <c r="C4" s="5" t="inlineStr">
        <is>
          <t>中型</t>
        </is>
      </c>
      <c r="D4" s="19" t="n">
        <v>42</v>
      </c>
      <c r="E4" s="30" t="n">
        <v>560</v>
      </c>
      <c r="F4" s="31">
        <f>IFERROR($D4*$E4,"")</f>
        <v/>
      </c>
      <c r="G4" s="30" t="n">
        <v>68000</v>
      </c>
      <c r="H4" s="20" t="n">
        <v>0.62</v>
      </c>
      <c r="I4" s="31">
        <f>IFERROR($G4*$H4,"")</f>
        <v/>
      </c>
      <c r="J4" s="30" t="n">
        <v>18000</v>
      </c>
      <c r="K4" s="30" t="n">
        <v>3000</v>
      </c>
      <c r="L4" s="31">
        <f>IFERROR($F4+$G4+$J4+$K4,"")</f>
        <v/>
      </c>
      <c r="M4" s="30" t="n">
        <v>680</v>
      </c>
      <c r="N4" s="31">
        <f>IFERROR($D4*$M4,"")</f>
        <v/>
      </c>
      <c r="O4" s="33">
        <f>IFERROR(VLOOKUP($C4,$A$19:$F$22,6,FALSE),"")</f>
        <v/>
      </c>
      <c r="P4" s="31">
        <f>IFERROR($N4*$O4,"")</f>
        <v/>
      </c>
      <c r="Q4" s="9">
        <f>IF(OR($L4="",$P4=""),"",IF($L4&gt;=$P4,"达标","未达标"))</f>
        <v/>
      </c>
      <c r="R4" s="31">
        <f>IFERROR(VLOOKUP($C4,$A$19:$F$22,4,FALSE),"")</f>
        <v/>
      </c>
      <c r="S4" s="9">
        <f>IF(OR($G4="",$R4=""),"",IF($G4&gt;=$R4,"达标","未达标"))</f>
        <v/>
      </c>
      <c r="T4" s="6">
        <f>IF($Q4="","",IF($Q4="未达标",IF($H4&lt;0.55,"拒绝（未达底线且毛利率不足）","拒绝（未达综合贡献底线）"),IF($H4&lt;0.55,"可接受（餐饮毛利率&lt;55%，须 L3 审批）",IF($C4="超大型","接受（须 L3/业主审批）","接受"))))</f>
        <v/>
      </c>
      <c r="U4" s="9">
        <f>IF($Q4="","",IF(OR($H4&lt;0.55,$C4="超大型"),"是","否"))</f>
        <v/>
      </c>
    </row>
    <row r="5">
      <c r="A5" s="25" t="inlineStr">
        <is>
          <t>医药全国经销商大会</t>
        </is>
      </c>
      <c r="B5" s="18" t="n">
        <v>46089</v>
      </c>
      <c r="C5" s="5" t="inlineStr">
        <is>
          <t>大型</t>
        </is>
      </c>
      <c r="D5" s="19" t="n">
        <v>96</v>
      </c>
      <c r="E5" s="30" t="n">
        <v>600</v>
      </c>
      <c r="F5" s="31">
        <f>IFERROR($D5*$E5,"")</f>
        <v/>
      </c>
      <c r="G5" s="30" t="n">
        <v>168000</v>
      </c>
      <c r="H5" s="20" t="n">
        <v>0.58</v>
      </c>
      <c r="I5" s="31">
        <f>IFERROR($G5*$H5,"")</f>
        <v/>
      </c>
      <c r="J5" s="30" t="n">
        <v>45000</v>
      </c>
      <c r="K5" s="30" t="n">
        <v>12000</v>
      </c>
      <c r="L5" s="31">
        <f>IFERROR($F5+$G5+$J5+$K5,"")</f>
        <v/>
      </c>
      <c r="M5" s="30" t="n">
        <v>700</v>
      </c>
      <c r="N5" s="31">
        <f>IFERROR($D5*$M5,"")</f>
        <v/>
      </c>
      <c r="O5" s="33">
        <f>IFERROR(VLOOKUP($C5,$A$19:$F$22,6,FALSE),"")</f>
        <v/>
      </c>
      <c r="P5" s="31">
        <f>IFERROR($N5*$O5,"")</f>
        <v/>
      </c>
      <c r="Q5" s="9">
        <f>IF(OR($L5="",$P5=""),"",IF($L5&gt;=$P5,"达标","未达标"))</f>
        <v/>
      </c>
      <c r="R5" s="31">
        <f>IFERROR(VLOOKUP($C5,$A$19:$F$22,4,FALSE),"")</f>
        <v/>
      </c>
      <c r="S5" s="9">
        <f>IF(OR($G5="",$R5=""),"",IF($G5&gt;=$R5,"达标","未达标"))</f>
        <v/>
      </c>
      <c r="T5" s="6">
        <f>IF($Q5="","",IF($Q5="未达标",IF($H5&lt;0.55,"拒绝（未达底线且毛利率不足）","拒绝（未达综合贡献底线）"),IF($H5&lt;0.55,"可接受（餐饮毛利率&lt;55%，须 L3 审批）",IF($C5="超大型","接受（须 L3/业主审批）","接受"))))</f>
        <v/>
      </c>
      <c r="U5" s="9">
        <f>IF($Q5="","",IF(OR($H5&lt;0.55,$C5="超大型"),"是","否"))</f>
        <v/>
      </c>
    </row>
    <row r="6">
      <c r="A6" s="25" t="inlineStr">
        <is>
          <t>校友返校小型聚会</t>
        </is>
      </c>
      <c r="B6" s="18" t="n">
        <v>46096</v>
      </c>
      <c r="C6" s="5" t="inlineStr">
        <is>
          <t>小型</t>
        </is>
      </c>
      <c r="D6" s="19" t="n">
        <v>12</v>
      </c>
      <c r="E6" s="30" t="n">
        <v>520</v>
      </c>
      <c r="F6" s="31">
        <f>IFERROR($D6*$E6,"")</f>
        <v/>
      </c>
      <c r="G6" s="30" t="n">
        <v>12000</v>
      </c>
      <c r="H6" s="20" t="n">
        <v>0.6</v>
      </c>
      <c r="I6" s="31">
        <f>IFERROR($G6*$H6,"")</f>
        <v/>
      </c>
      <c r="J6" s="30" t="n">
        <v>4000</v>
      </c>
      <c r="K6" s="30" t="n">
        <v>0</v>
      </c>
      <c r="L6" s="31">
        <f>IFERROR($F6+$G6+$J6+$K6,"")</f>
        <v/>
      </c>
      <c r="M6" s="30" t="n">
        <v>650</v>
      </c>
      <c r="N6" s="31">
        <f>IFERROR($D6*$M6,"")</f>
        <v/>
      </c>
      <c r="O6" s="33">
        <f>IFERROR(VLOOKUP($C6,$A$19:$F$22,6,FALSE),"")</f>
        <v/>
      </c>
      <c r="P6" s="31">
        <f>IFERROR($N6*$O6,"")</f>
        <v/>
      </c>
      <c r="Q6" s="9">
        <f>IF(OR($L6="",$P6=""),"",IF($L6&gt;=$P6,"达标","未达标"))</f>
        <v/>
      </c>
      <c r="R6" s="31">
        <f>IFERROR(VLOOKUP($C6,$A$19:$F$22,4,FALSE),"")</f>
        <v/>
      </c>
      <c r="S6" s="9">
        <f>IF(OR($G6="",$R6=""),"",IF($G6&gt;=$R6,"达标","未达标"))</f>
        <v/>
      </c>
      <c r="T6" s="6">
        <f>IF($Q6="","",IF($Q6="未达标",IF($H6&lt;0.55,"拒绝（未达底线且毛利率不足）","拒绝（未达综合贡献底线）"),IF($H6&lt;0.55,"可接受（餐饮毛利率&lt;55%，须 L3 审批）",IF($C6="超大型","接受（须 L3/业主审批）","接受"))))</f>
        <v/>
      </c>
      <c r="U6" s="9">
        <f>IF($Q6="","",IF(OR($H6&lt;0.55,$C6="超大型"),"是","否"))</f>
        <v/>
      </c>
    </row>
    <row r="7">
      <c r="A7" s="25" t="inlineStr">
        <is>
          <t>国际论坛分会场</t>
        </is>
      </c>
      <c r="B7" s="18" t="n">
        <v>46103</v>
      </c>
      <c r="C7" s="5" t="inlineStr">
        <is>
          <t>超大型</t>
        </is>
      </c>
      <c r="D7" s="19" t="n">
        <v>165</v>
      </c>
      <c r="E7" s="30" t="n">
        <v>620</v>
      </c>
      <c r="F7" s="31">
        <f>IFERROR($D7*$E7,"")</f>
        <v/>
      </c>
      <c r="G7" s="30" t="n">
        <v>320000</v>
      </c>
      <c r="H7" s="20" t="n">
        <v>0.55</v>
      </c>
      <c r="I7" s="31">
        <f>IFERROR($G7*$H7,"")</f>
        <v/>
      </c>
      <c r="J7" s="30" t="n">
        <v>60000</v>
      </c>
      <c r="K7" s="30" t="n">
        <v>25000</v>
      </c>
      <c r="L7" s="31">
        <f>IFERROR($F7+$G7+$J7+$K7,"")</f>
        <v/>
      </c>
      <c r="M7" s="30" t="n">
        <v>720</v>
      </c>
      <c r="N7" s="31">
        <f>IFERROR($D7*$M7,"")</f>
        <v/>
      </c>
      <c r="O7" s="33">
        <f>IFERROR(VLOOKUP($C7,$A$19:$F$22,6,FALSE),"")</f>
        <v/>
      </c>
      <c r="P7" s="31">
        <f>IFERROR($N7*$O7,"")</f>
        <v/>
      </c>
      <c r="Q7" s="9">
        <f>IF(OR($L7="",$P7=""),"",IF($L7&gt;=$P7,"达标","未达标"))</f>
        <v/>
      </c>
      <c r="R7" s="31">
        <f>IFERROR(VLOOKUP($C7,$A$19:$F$22,4,FALSE),"")</f>
        <v/>
      </c>
      <c r="S7" s="9">
        <f>IF(OR($G7="",$R7=""),"",IF($G7&gt;=$R7,"达标","未达标"))</f>
        <v/>
      </c>
      <c r="T7" s="6">
        <f>IF($Q7="","",IF($Q7="未达标",IF($H7&lt;0.55,"拒绝（未达底线且毛利率不足）","拒绝（未达综合贡献底线）"),IF($H7&lt;0.55,"可接受（餐饮毛利率&lt;55%，须 L3 审批）",IF($C7="超大型","接受（须 L3/业主审批）","接受"))))</f>
        <v/>
      </c>
      <c r="U7" s="9">
        <f>IF($Q7="","",IF(OR($H7&lt;0.55,$C7="超大型"),"是","否"))</f>
        <v/>
      </c>
    </row>
    <row r="8">
      <c r="A8" s="25" t="n"/>
      <c r="B8" s="18" t="n"/>
      <c r="C8" s="5" t="n"/>
      <c r="D8" s="19" t="n"/>
      <c r="E8" s="30" t="n"/>
      <c r="F8" s="31">
        <f>IFERROR($D8*$E8,"")</f>
        <v/>
      </c>
      <c r="G8" s="30" t="n"/>
      <c r="H8" s="20" t="n"/>
      <c r="I8" s="31">
        <f>IFERROR($G8*$H8,"")</f>
        <v/>
      </c>
      <c r="J8" s="30" t="n"/>
      <c r="K8" s="30" t="n"/>
      <c r="L8" s="31">
        <f>IFERROR($F8+$G8+$J8+$K8,"")</f>
        <v/>
      </c>
      <c r="M8" s="30" t="n"/>
      <c r="N8" s="31">
        <f>IFERROR($D8*$M8,"")</f>
        <v/>
      </c>
      <c r="O8" s="33">
        <f>IFERROR(VLOOKUP($C8,$A$19:$F$22,6,FALSE),"")</f>
        <v/>
      </c>
      <c r="P8" s="31">
        <f>IFERROR($N8*$O8,"")</f>
        <v/>
      </c>
      <c r="Q8" s="9">
        <f>IF(OR($L8="",$P8=""),"",IF($L8&gt;=$P8,"达标","未达标"))</f>
        <v/>
      </c>
      <c r="R8" s="31">
        <f>IFERROR(VLOOKUP($C8,$A$19:$F$22,4,FALSE),"")</f>
        <v/>
      </c>
      <c r="S8" s="9">
        <f>IF(OR($G8="",$R8=""),"",IF($G8&gt;=$R8,"达标","未达标"))</f>
        <v/>
      </c>
      <c r="T8" s="6">
        <f>IF($Q8="","",IF($Q8="未达标",IF($H8&lt;0.55,"拒绝（未达底线且毛利率不足）","拒绝（未达综合贡献底线）"),IF($H8&lt;0.55,"可接受（餐饮毛利率&lt;55%，须 L3 审批）",IF($C8="超大型","接受（须 L3/业主审批）","接受"))))</f>
        <v/>
      </c>
      <c r="U8" s="9">
        <f>IF($Q8="","",IF(OR($H8&lt;0.55,$C8="超大型"),"是","否"))</f>
        <v/>
      </c>
    </row>
    <row r="9">
      <c r="A9" s="25" t="n"/>
      <c r="B9" s="18" t="n"/>
      <c r="C9" s="5" t="n"/>
      <c r="D9" s="19" t="n"/>
      <c r="E9" s="30" t="n"/>
      <c r="F9" s="31">
        <f>IFERROR($D9*$E9,"")</f>
        <v/>
      </c>
      <c r="G9" s="30" t="n"/>
      <c r="H9" s="20" t="n"/>
      <c r="I9" s="31">
        <f>IFERROR($G9*$H9,"")</f>
        <v/>
      </c>
      <c r="J9" s="30" t="n"/>
      <c r="K9" s="30" t="n"/>
      <c r="L9" s="31">
        <f>IFERROR($F9+$G9+$J9+$K9,"")</f>
        <v/>
      </c>
      <c r="M9" s="30" t="n"/>
      <c r="N9" s="31">
        <f>IFERROR($D9*$M9,"")</f>
        <v/>
      </c>
      <c r="O9" s="33">
        <f>IFERROR(VLOOKUP($C9,$A$19:$F$22,6,FALSE),"")</f>
        <v/>
      </c>
      <c r="P9" s="31">
        <f>IFERROR($N9*$O9,"")</f>
        <v/>
      </c>
      <c r="Q9" s="9">
        <f>IF(OR($L9="",$P9=""),"",IF($L9&gt;=$P9,"达标","未达标"))</f>
        <v/>
      </c>
      <c r="R9" s="31">
        <f>IFERROR(VLOOKUP($C9,$A$19:$F$22,4,FALSE),"")</f>
        <v/>
      </c>
      <c r="S9" s="9">
        <f>IF(OR($G9="",$R9=""),"",IF($G9&gt;=$R9,"达标","未达标"))</f>
        <v/>
      </c>
      <c r="T9" s="6">
        <f>IF($Q9="","",IF($Q9="未达标",IF($H9&lt;0.55,"拒绝（未达底线且毛利率不足）","拒绝（未达综合贡献底线）"),IF($H9&lt;0.55,"可接受（餐饮毛利率&lt;55%，须 L3 审批）",IF($C9="超大型","接受（须 L3/业主审批）","接受"))))</f>
        <v/>
      </c>
      <c r="U9" s="9">
        <f>IF($Q9="","",IF(OR($H9&lt;0.55,$C9="超大型"),"是","否"))</f>
        <v/>
      </c>
    </row>
    <row r="10">
      <c r="A10" s="25" t="n"/>
      <c r="B10" s="18" t="n"/>
      <c r="C10" s="5" t="n"/>
      <c r="D10" s="19" t="n"/>
      <c r="E10" s="30" t="n"/>
      <c r="F10" s="31">
        <f>IFERROR($D10*$E10,"")</f>
        <v/>
      </c>
      <c r="G10" s="30" t="n"/>
      <c r="H10" s="20" t="n"/>
      <c r="I10" s="31">
        <f>IFERROR($G10*$H10,"")</f>
        <v/>
      </c>
      <c r="J10" s="30" t="n"/>
      <c r="K10" s="30" t="n"/>
      <c r="L10" s="31">
        <f>IFERROR($F10+$G10+$J10+$K10,"")</f>
        <v/>
      </c>
      <c r="M10" s="30" t="n"/>
      <c r="N10" s="31">
        <f>IFERROR($D10*$M10,"")</f>
        <v/>
      </c>
      <c r="O10" s="33">
        <f>IFERROR(VLOOKUP($C10,$A$19:$F$22,6,FALSE),"")</f>
        <v/>
      </c>
      <c r="P10" s="31">
        <f>IFERROR($N10*$O10,"")</f>
        <v/>
      </c>
      <c r="Q10" s="9">
        <f>IF(OR($L10="",$P10=""),"",IF($L10&gt;=$P10,"达标","未达标"))</f>
        <v/>
      </c>
      <c r="R10" s="31">
        <f>IFERROR(VLOOKUP($C10,$A$19:$F$22,4,FALSE),"")</f>
        <v/>
      </c>
      <c r="S10" s="9">
        <f>IF(OR($G10="",$R10=""),"",IF($G10&gt;=$R10,"达标","未达标"))</f>
        <v/>
      </c>
      <c r="T10" s="6">
        <f>IF($Q10="","",IF($Q10="未达标",IF($H10&lt;0.55,"拒绝（未达底线且毛利率不足）","拒绝（未达综合贡献底线）"),IF($H10&lt;0.55,"可接受（餐饮毛利率&lt;55%，须 L3 审批）",IF($C10="超大型","接受（须 L3/业主审批）","接受"))))</f>
        <v/>
      </c>
      <c r="U10" s="9">
        <f>IF($Q10="","",IF(OR($H10&lt;0.55,$C10="超大型"),"是","否"))</f>
        <v/>
      </c>
    </row>
    <row r="11">
      <c r="A11" s="25" t="n"/>
      <c r="B11" s="18" t="n"/>
      <c r="C11" s="5" t="n"/>
      <c r="D11" s="19" t="n"/>
      <c r="E11" s="30" t="n"/>
      <c r="F11" s="31">
        <f>IFERROR($D11*$E11,"")</f>
        <v/>
      </c>
      <c r="G11" s="30" t="n"/>
      <c r="H11" s="20" t="n"/>
      <c r="I11" s="31">
        <f>IFERROR($G11*$H11,"")</f>
        <v/>
      </c>
      <c r="J11" s="30" t="n"/>
      <c r="K11" s="30" t="n"/>
      <c r="L11" s="31">
        <f>IFERROR($F11+$G11+$J11+$K11,"")</f>
        <v/>
      </c>
      <c r="M11" s="30" t="n"/>
      <c r="N11" s="31">
        <f>IFERROR($D11*$M11,"")</f>
        <v/>
      </c>
      <c r="O11" s="33">
        <f>IFERROR(VLOOKUP($C11,$A$19:$F$22,6,FALSE),"")</f>
        <v/>
      </c>
      <c r="P11" s="31">
        <f>IFERROR($N11*$O11,"")</f>
        <v/>
      </c>
      <c r="Q11" s="9">
        <f>IF(OR($L11="",$P11=""),"",IF($L11&gt;=$P11,"达标","未达标"))</f>
        <v/>
      </c>
      <c r="R11" s="31">
        <f>IFERROR(VLOOKUP($C11,$A$19:$F$22,4,FALSE),"")</f>
        <v/>
      </c>
      <c r="S11" s="9">
        <f>IF(OR($G11="",$R11=""),"",IF($G11&gt;=$R11,"达标","未达标"))</f>
        <v/>
      </c>
      <c r="T11" s="6">
        <f>IF($Q11="","",IF($Q11="未达标",IF($H11&lt;0.55,"拒绝（未达底线且毛利率不足）","拒绝（未达综合贡献底线）"),IF($H11&lt;0.55,"可接受（餐饮毛利率&lt;55%，须 L3 审批）",IF($C11="超大型","接受（须 L3/业主审批）","接受"))))</f>
        <v/>
      </c>
      <c r="U11" s="9">
        <f>IF($Q11="","",IF(OR($H11&lt;0.55,$C11="超大型"),"是","否"))</f>
        <v/>
      </c>
    </row>
    <row r="12">
      <c r="A12" s="25" t="n"/>
      <c r="B12" s="18" t="n"/>
      <c r="C12" s="5" t="n"/>
      <c r="D12" s="19" t="n"/>
      <c r="E12" s="30" t="n"/>
      <c r="F12" s="31">
        <f>IFERROR($D12*$E12,"")</f>
        <v/>
      </c>
      <c r="G12" s="30" t="n"/>
      <c r="H12" s="20" t="n"/>
      <c r="I12" s="31">
        <f>IFERROR($G12*$H12,"")</f>
        <v/>
      </c>
      <c r="J12" s="30" t="n"/>
      <c r="K12" s="30" t="n"/>
      <c r="L12" s="31">
        <f>IFERROR($F12+$G12+$J12+$K12,"")</f>
        <v/>
      </c>
      <c r="M12" s="30" t="n"/>
      <c r="N12" s="31">
        <f>IFERROR($D12*$M12,"")</f>
        <v/>
      </c>
      <c r="O12" s="33">
        <f>IFERROR(VLOOKUP($C12,$A$19:$F$22,6,FALSE),"")</f>
        <v/>
      </c>
      <c r="P12" s="31">
        <f>IFERROR($N12*$O12,"")</f>
        <v/>
      </c>
      <c r="Q12" s="9">
        <f>IF(OR($L12="",$P12=""),"",IF($L12&gt;=$P12,"达标","未达标"))</f>
        <v/>
      </c>
      <c r="R12" s="31">
        <f>IFERROR(VLOOKUP($C12,$A$19:$F$22,4,FALSE),"")</f>
        <v/>
      </c>
      <c r="S12" s="9">
        <f>IF(OR($G12="",$R12=""),"",IF($G12&gt;=$R12,"达标","未达标"))</f>
        <v/>
      </c>
      <c r="T12" s="6">
        <f>IF($Q12="","",IF($Q12="未达标",IF($H12&lt;0.55,"拒绝（未达底线且毛利率不足）","拒绝（未达综合贡献底线）"),IF($H12&lt;0.55,"可接受（餐饮毛利率&lt;55%，须 L3 审批）",IF($C12="超大型","接受（须 L3/业主审批）","接受"))))</f>
        <v/>
      </c>
      <c r="U12" s="9">
        <f>IF($Q12="","",IF(OR($H12&lt;0.55,$C12="超大型"),"是","否"))</f>
        <v/>
      </c>
    </row>
    <row r="13">
      <c r="A13" s="25" t="n"/>
      <c r="B13" s="18" t="n"/>
      <c r="C13" s="5" t="n"/>
      <c r="D13" s="19" t="n"/>
      <c r="E13" s="30" t="n"/>
      <c r="F13" s="31">
        <f>IFERROR($D13*$E13,"")</f>
        <v/>
      </c>
      <c r="G13" s="30" t="n"/>
      <c r="H13" s="20" t="n"/>
      <c r="I13" s="31">
        <f>IFERROR($G13*$H13,"")</f>
        <v/>
      </c>
      <c r="J13" s="30" t="n"/>
      <c r="K13" s="30" t="n"/>
      <c r="L13" s="31">
        <f>IFERROR($F13+$G13+$J13+$K13,"")</f>
        <v/>
      </c>
      <c r="M13" s="30" t="n"/>
      <c r="N13" s="31">
        <f>IFERROR($D13*$M13,"")</f>
        <v/>
      </c>
      <c r="O13" s="33">
        <f>IFERROR(VLOOKUP($C13,$A$19:$F$22,6,FALSE),"")</f>
        <v/>
      </c>
      <c r="P13" s="31">
        <f>IFERROR($N13*$O13,"")</f>
        <v/>
      </c>
      <c r="Q13" s="9">
        <f>IF(OR($L13="",$P13=""),"",IF($L13&gt;=$P13,"达标","未达标"))</f>
        <v/>
      </c>
      <c r="R13" s="31">
        <f>IFERROR(VLOOKUP($C13,$A$19:$F$22,4,FALSE),"")</f>
        <v/>
      </c>
      <c r="S13" s="9">
        <f>IF(OR($G13="",$R13=""),"",IF($G13&gt;=$R13,"达标","未达标"))</f>
        <v/>
      </c>
      <c r="T13" s="6">
        <f>IF($Q13="","",IF($Q13="未达标",IF($H13&lt;0.55,"拒绝（未达底线且毛利率不足）","拒绝（未达综合贡献底线）"),IF($H13&lt;0.55,"可接受（餐饮毛利率&lt;55%，须 L3 审批）",IF($C13="超大型","接受（须 L3/业主审批）","接受"))))</f>
        <v/>
      </c>
      <c r="U13" s="9">
        <f>IF($Q13="","",IF(OR($H13&lt;0.55,$C13="超大型"),"是","否"))</f>
        <v/>
      </c>
    </row>
    <row r="14">
      <c r="A14" s="25" t="n"/>
      <c r="B14" s="18" t="n"/>
      <c r="C14" s="5" t="n"/>
      <c r="D14" s="19" t="n"/>
      <c r="E14" s="30" t="n"/>
      <c r="F14" s="31">
        <f>IFERROR($D14*$E14,"")</f>
        <v/>
      </c>
      <c r="G14" s="30" t="n"/>
      <c r="H14" s="20" t="n"/>
      <c r="I14" s="31">
        <f>IFERROR($G14*$H14,"")</f>
        <v/>
      </c>
      <c r="J14" s="30" t="n"/>
      <c r="K14" s="30" t="n"/>
      <c r="L14" s="31">
        <f>IFERROR($F14+$G14+$J14+$K14,"")</f>
        <v/>
      </c>
      <c r="M14" s="30" t="n"/>
      <c r="N14" s="31">
        <f>IFERROR($D14*$M14,"")</f>
        <v/>
      </c>
      <c r="O14" s="33">
        <f>IFERROR(VLOOKUP($C14,$A$19:$F$22,6,FALSE),"")</f>
        <v/>
      </c>
      <c r="P14" s="31">
        <f>IFERROR($N14*$O14,"")</f>
        <v/>
      </c>
      <c r="Q14" s="9">
        <f>IF(OR($L14="",$P14=""),"",IF($L14&gt;=$P14,"达标","未达标"))</f>
        <v/>
      </c>
      <c r="R14" s="31">
        <f>IFERROR(VLOOKUP($C14,$A$19:$F$22,4,FALSE),"")</f>
        <v/>
      </c>
      <c r="S14" s="9">
        <f>IF(OR($G14="",$R14=""),"",IF($G14&gt;=$R14,"达标","未达标"))</f>
        <v/>
      </c>
      <c r="T14" s="6">
        <f>IF($Q14="","",IF($Q14="未达标",IF($H14&lt;0.55,"拒绝（未达底线且毛利率不足）","拒绝（未达综合贡献底线）"),IF($H14&lt;0.55,"可接受（餐饮毛利率&lt;55%，须 L3 审批）",IF($C14="超大型","接受（须 L3/业主审批）","接受"))))</f>
        <v/>
      </c>
      <c r="U14" s="9">
        <f>IF($Q14="","",IF(OR($H14&lt;0.55,$C14="超大型"),"是","否"))</f>
        <v/>
      </c>
    </row>
    <row r="15">
      <c r="A15" s="25" t="n"/>
      <c r="B15" s="18" t="n"/>
      <c r="C15" s="5" t="n"/>
      <c r="D15" s="19" t="n"/>
      <c r="E15" s="30" t="n"/>
      <c r="F15" s="31">
        <f>IFERROR($D15*$E15,"")</f>
        <v/>
      </c>
      <c r="G15" s="30" t="n"/>
      <c r="H15" s="20" t="n"/>
      <c r="I15" s="31">
        <f>IFERROR($G15*$H15,"")</f>
        <v/>
      </c>
      <c r="J15" s="30" t="n"/>
      <c r="K15" s="30" t="n"/>
      <c r="L15" s="31">
        <f>IFERROR($F15+$G15+$J15+$K15,"")</f>
        <v/>
      </c>
      <c r="M15" s="30" t="n"/>
      <c r="N15" s="31">
        <f>IFERROR($D15*$M15,"")</f>
        <v/>
      </c>
      <c r="O15" s="33">
        <f>IFERROR(VLOOKUP($C15,$A$19:$F$22,6,FALSE),"")</f>
        <v/>
      </c>
      <c r="P15" s="31">
        <f>IFERROR($N15*$O15,"")</f>
        <v/>
      </c>
      <c r="Q15" s="9">
        <f>IF(OR($L15="",$P15=""),"",IF($L15&gt;=$P15,"达标","未达标"))</f>
        <v/>
      </c>
      <c r="R15" s="31">
        <f>IFERROR(VLOOKUP($C15,$A$19:$F$22,4,FALSE),"")</f>
        <v/>
      </c>
      <c r="S15" s="9">
        <f>IF(OR($G15="",$R15=""),"",IF($G15&gt;=$R15,"达标","未达标"))</f>
        <v/>
      </c>
      <c r="T15" s="6">
        <f>IF($Q15="","",IF($Q15="未达标",IF($H15&lt;0.55,"拒绝（未达底线且毛利率不足）","拒绝（未达综合贡献底线）"),IF($H15&lt;0.55,"可接受（餐饮毛利率&lt;55%，须 L3 审批）",IF($C15="超大型","接受（须 L3/业主审批）","接受"))))</f>
        <v/>
      </c>
      <c r="U15" s="9">
        <f>IF($Q15="","",IF(OR($H15&lt;0.55,$C15="超大型"),"是","否"))</f>
        <v/>
      </c>
    </row>
    <row r="17">
      <c r="A17" s="3" t="inlineStr">
        <is>
          <t>《法典》表 K · 会议/宴会综合收益联动表（参考区，勿改）</t>
        </is>
      </c>
    </row>
    <row r="18" ht="26" customHeight="1">
      <c r="A18" s="12" t="inlineStr">
        <is>
          <t>会议规模</t>
        </is>
      </c>
      <c r="B18" s="12" t="inlineStr">
        <is>
          <t>人数</t>
        </is>
      </c>
      <c r="C18" s="12" t="inlineStr">
        <is>
          <t>客房需求</t>
        </is>
      </c>
      <c r="D18" s="12" t="inlineStr">
        <is>
          <t>餐饮保底</t>
        </is>
      </c>
      <c r="E18" s="12" t="inlineStr">
        <is>
          <t>接受底线（综合贡献）</t>
        </is>
      </c>
      <c r="F18" s="12" t="inlineStr">
        <is>
          <t>底线系数（计算用）</t>
        </is>
      </c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</row>
    <row r="19">
      <c r="A19" s="13" t="inlineStr">
        <is>
          <t>小型</t>
        </is>
      </c>
      <c r="B19" s="13" t="inlineStr">
        <is>
          <t>≤30人</t>
        </is>
      </c>
      <c r="C19" s="13" t="inlineStr">
        <is>
          <t>≤15间夜</t>
        </is>
      </c>
      <c r="D19" s="34" t="n">
        <v>8000</v>
      </c>
      <c r="E19" s="7" t="n">
        <v>1.1</v>
      </c>
      <c r="F19" s="35" t="n">
        <v>1.1</v>
      </c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</row>
    <row r="20">
      <c r="A20" s="13" t="inlineStr">
        <is>
          <t>中型</t>
        </is>
      </c>
      <c r="B20" s="13" t="inlineStr">
        <is>
          <t>31-120人</t>
        </is>
      </c>
      <c r="C20" s="13" t="inlineStr">
        <is>
          <t>16-60间夜</t>
        </is>
      </c>
      <c r="D20" s="34" t="n">
        <v>30000</v>
      </c>
      <c r="E20" s="7" t="n">
        <v>1</v>
      </c>
      <c r="F20" s="35" t="n">
        <v>1</v>
      </c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</row>
    <row r="21">
      <c r="A21" s="13" t="inlineStr">
        <is>
          <t>大型</t>
        </is>
      </c>
      <c r="B21" s="13" t="inlineStr">
        <is>
          <t>121-300人</t>
        </is>
      </c>
      <c r="C21" s="13" t="inlineStr">
        <is>
          <t>61-150间夜</t>
        </is>
      </c>
      <c r="D21" s="34" t="n">
        <v>80000</v>
      </c>
      <c r="E21" s="7" t="n">
        <v>0.95</v>
      </c>
      <c r="F21" s="35" t="n">
        <v>0.95</v>
      </c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</row>
    <row r="22">
      <c r="A22" s="13" t="inlineStr">
        <is>
          <t>超大型</t>
        </is>
      </c>
      <c r="B22" s="13" t="inlineStr">
        <is>
          <t>&gt;300人</t>
        </is>
      </c>
      <c r="C22" s="13" t="inlineStr">
        <is>
          <t>&gt;150间夜</t>
        </is>
      </c>
      <c r="D22" s="34" t="n">
        <v>150000</v>
      </c>
      <c r="E22" s="7" t="n">
        <v>0.9</v>
      </c>
      <c r="F22" s="35" t="n">
        <v>0.9</v>
      </c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</row>
  </sheetData>
  <mergeCells count="2">
    <mergeCell ref="A1:U1"/>
    <mergeCell ref="A2:U2"/>
  </mergeCells>
  <conditionalFormatting sqref="Q4:Q15">
    <cfRule type="expression" priority="1" dxfId="3">
      <formula>EXACT($Q4,"达标")</formula>
    </cfRule>
    <cfRule type="expression" priority="2" dxfId="0">
      <formula>EXACT($Q4,"未达标")</formula>
    </cfRule>
  </conditionalFormatting>
  <conditionalFormatting sqref="S4:S15">
    <cfRule type="expression" priority="3" dxfId="3">
      <formula>EXACT($S4,"达标")</formula>
    </cfRule>
    <cfRule type="expression" priority="4" dxfId="0">
      <formula>EXACT($S4,"未达标")</formula>
    </cfRule>
  </conditionalFormatting>
  <conditionalFormatting sqref="H4:H15">
    <cfRule type="expression" priority="5" dxfId="0">
      <formula>$H4&lt;0.55</formula>
    </cfRule>
  </conditionalFormatting>
  <conditionalFormatting sqref="U4:U15">
    <cfRule type="expression" priority="6" dxfId="0">
      <formula>EXACT($U4,"是")</formula>
    </cfRule>
    <cfRule type="expression" priority="7" dxfId="3">
      <formula>EXACT($U4,"否")</formula>
    </cfRule>
  </conditionalFormatting>
  <dataValidations count="3">
    <dataValidation sqref="C4:C15" showDropDown="0" showInputMessage="0" showErrorMessage="1" allowBlank="1" type="list">
      <formula1>"小型,中型,大型,超大型"</formula1>
    </dataValidation>
    <dataValidation sqref="H4:H15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B4:B15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2026-09-03T23:54:21Z</dcterms:created>
  <dcterms:modified xmlns:dcterms="http://purl.org/dc/terms/" xmlns:xsi="http://www.w3.org/2001/XMLSchema-instance" xsi:type="dcterms:W3CDTF">2026-09-03T23:54:21Z</dcterms:modified>
</cp:coreProperties>
</file>