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日报" sheetId="2" state="visible" r:id="rId2"/>
    <sheet xmlns:r="http://schemas.openxmlformats.org/officeDocument/2006/relationships" name="数据字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EDEDED"/>
        <bgColor rgb="00EDEDED"/>
      </patternFill>
    </fill>
    <fill>
      <patternFill patternType="solid">
        <fgColor rgb="00FFF7D6"/>
        <bgColor rgb="00FFF7D6"/>
      </patternFill>
    </fill>
    <fill>
      <patternFill patternType="solid">
        <fgColor rgb="002C5282"/>
        <bgColor rgb="002C5282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65" fontId="7" fillId="6" borderId="1" applyAlignment="1" pivotButton="0" quotePrefix="0" xfId="0">
      <alignment horizontal="center" vertical="center"/>
    </xf>
    <xf numFmtId="1" fontId="7" fillId="6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4" fontId="7" fillId="3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center" vertical="center"/>
    </xf>
    <xf numFmtId="166" fontId="7" fillId="3" borderId="1" applyAlignment="1" pivotButton="0" quotePrefix="0" xfId="0">
      <alignment horizontal="center" vertical="center"/>
    </xf>
    <xf numFmtId="10" fontId="7" fillId="6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0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01 · 每日收益日报 ｜ 使用说明</t>
        </is>
      </c>
    </row>
    <row r="2" ht="26" customHeight="1">
      <c r="A2" s="2" t="inlineStr">
        <is>
          <t>收益管理第一张表：把昨天的经营结果和竞争位置，在一行里说清楚。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用于每日 07:30–08:30 的《每日收益数据包》汇总（《法典》表 M 流水线第 1-3 步）。</t>
        </is>
      </c>
    </row>
    <row r="5" ht="18" customHeight="1">
      <c r="A5" s="4" t="inlineStr">
        <is>
          <t>一行 = 一个经营日。填入房晚与收入后，OCC / ADR / RevPAR / MPI / ARI / RGI / NRevPAR 与月度累计、预算达成率全部自动计算。</t>
        </is>
      </c>
    </row>
    <row r="6" ht="18" customHeight="1">
      <c r="A6" s="4" t="inlineStr">
        <is>
          <t>《法典》表 M 要求 07:30 抓取数据、08:30 前完成查表，本表即为其数据底座。</t>
        </is>
      </c>
    </row>
    <row r="8" ht="22" customHeight="1">
      <c r="A8" s="3" t="inlineStr">
        <is>
          <t>二、填色规则</t>
        </is>
      </c>
    </row>
    <row r="9" ht="20" customHeight="1">
      <c r="A9" s="5" t="inlineStr"/>
      <c r="B9" s="6" t="inlineStr">
        <is>
          <t>输入区</t>
        </is>
      </c>
      <c r="C9" s="7" t="inlineStr">
        <is>
          <t>浅黄底 + 边框</t>
        </is>
      </c>
      <c r="D9" s="8" t="inlineStr">
        <is>
          <t>由学员填写，例如日期、房晚、价格</t>
        </is>
      </c>
    </row>
    <row r="10" ht="20" customHeight="1">
      <c r="A10" s="9" t="inlineStr"/>
      <c r="B10" s="6" t="inlineStr">
        <is>
          <t>公式区</t>
        </is>
      </c>
      <c r="C10" s="7" t="inlineStr">
        <is>
          <t>白底 + 边框</t>
        </is>
      </c>
      <c r="D10" s="8" t="inlineStr">
        <is>
          <t>已预置 Excel 公式，改动会导致结果错误，请勿手改</t>
        </is>
      </c>
    </row>
    <row r="11" ht="20" customHeight="1">
      <c r="A11" s="10" t="inlineStr"/>
      <c r="B11" s="6" t="inlineStr">
        <is>
          <t>参考区</t>
        </is>
      </c>
      <c r="C11" s="7" t="inlineStr">
        <is>
          <t>灰底 + 斜体</t>
        </is>
      </c>
      <c r="D11" s="8" t="inlineStr">
        <is>
          <t>SPEC 固定参数/判定表，一般不需要改动</t>
        </is>
      </c>
    </row>
    <row r="12" ht="20" customHeight="1">
      <c r="A12" s="11" t="inlineStr"/>
      <c r="B12" s="6" t="inlineStr">
        <is>
          <t>标题行</t>
        </is>
      </c>
      <c r="C12" s="7" t="inlineStr">
        <is>
          <t>深蓝底白字</t>
        </is>
      </c>
      <c r="D12" s="8" t="inlineStr">
        <is>
          <t>字段名，冻结在首行</t>
        </is>
      </c>
    </row>
    <row r="14" ht="22" customHeight="1">
      <c r="A14" s="3" t="inlineStr">
        <is>
          <t>三、字段字典</t>
        </is>
      </c>
    </row>
    <row r="15" ht="32" customHeight="1">
      <c r="A15" s="12" t="inlineStr">
        <is>
          <t>列</t>
        </is>
      </c>
      <c r="B15" s="12" t="inlineStr">
        <is>
          <t>字段名称</t>
        </is>
      </c>
      <c r="C15" s="12" t="inlineStr">
        <is>
          <t>类型</t>
        </is>
      </c>
      <c r="D15" s="12" t="inlineStr">
        <is>
          <t>口径 / 预置公式</t>
        </is>
      </c>
      <c r="E15" s="12" t="inlineStr">
        <is>
          <t>说明</t>
        </is>
      </c>
    </row>
    <row r="16" ht="20" customHeight="1">
      <c r="A16" s="13" t="inlineStr">
        <is>
          <t>A</t>
        </is>
      </c>
      <c r="B16" s="6" t="inlineStr">
        <is>
          <t>日期</t>
        </is>
      </c>
      <c r="C16" s="5" t="inlineStr">
        <is>
          <t>输入</t>
        </is>
      </c>
      <c r="D16" s="14" t="inlineStr">
        <is>
          <t>—</t>
        </is>
      </c>
      <c r="E16" s="15" t="inlineStr">
        <is>
          <t>经营日；本月累计按此列自动归月</t>
        </is>
      </c>
    </row>
    <row r="17" ht="20" customHeight="1">
      <c r="A17" s="13" t="inlineStr">
        <is>
          <t>C</t>
        </is>
      </c>
      <c r="B17" s="6" t="inlineStr">
        <is>
          <t>需求等级</t>
        </is>
      </c>
      <c r="C17" s="5" t="inlineStr">
        <is>
          <t>输入</t>
        </is>
      </c>
      <c r="D17" s="14" t="inlineStr">
        <is>
          <t>D1/D2/D3/D4</t>
        </is>
      </c>
      <c r="E17" s="15" t="inlineStr">
        <is>
          <t>SPEC 2.5，决定价格系数与目标 OCC</t>
        </is>
      </c>
    </row>
    <row r="18" ht="20" customHeight="1">
      <c r="A18" s="13" t="inlineStr">
        <is>
          <t>D</t>
        </is>
      </c>
      <c r="B18" s="6" t="inlineStr">
        <is>
          <t>可售房量</t>
        </is>
      </c>
      <c r="C18" s="5" t="inlineStr">
        <is>
          <t>输入</t>
        </is>
      </c>
      <c r="D18" s="14" t="inlineStr">
        <is>
          <t>默认 320</t>
        </is>
      </c>
      <c r="E18" s="15" t="inlineStr">
        <is>
          <t>剔除装修/OOO 房后的可卖房量</t>
        </is>
      </c>
    </row>
    <row r="19" ht="20" customHeight="1">
      <c r="A19" s="13" t="inlineStr">
        <is>
          <t>E</t>
        </is>
      </c>
      <c r="B19" s="6" t="inlineStr">
        <is>
          <t>已售房晚</t>
        </is>
      </c>
      <c r="C19" s="5" t="inlineStr">
        <is>
          <t>输入</t>
        </is>
      </c>
      <c r="D19" s="14" t="inlineStr">
        <is>
          <t>—</t>
        </is>
      </c>
      <c r="E19" s="15" t="inlineStr">
        <is>
          <t>含免费房的房晚</t>
        </is>
      </c>
    </row>
    <row r="20" ht="20" customHeight="1">
      <c r="A20" s="13" t="inlineStr">
        <is>
          <t>G</t>
        </is>
      </c>
      <c r="B20" s="6" t="inlineStr">
        <is>
          <t>客房收入</t>
        </is>
      </c>
      <c r="C20" s="5" t="inlineStr">
        <is>
          <t>输入</t>
        </is>
      </c>
      <c r="D20" s="14" t="inlineStr">
        <is>
          <t>—</t>
        </is>
      </c>
      <c r="E20" s="15" t="inlineStr">
        <is>
          <t>含服务费、不含增值税</t>
        </is>
      </c>
    </row>
    <row r="21" ht="20" customHeight="1">
      <c r="A21" s="13" t="inlineStr">
        <is>
          <t>J/K</t>
        </is>
      </c>
      <c r="B21" s="6" t="inlineStr">
        <is>
          <t>竞争组合 OCC/ADR</t>
        </is>
      </c>
      <c r="C21" s="5" t="inlineStr">
        <is>
          <t>输入</t>
        </is>
      </c>
      <c r="D21" s="14" t="inlineStr">
        <is>
          <t>—</t>
        </is>
      </c>
      <c r="E21" s="15" t="inlineStr">
        <is>
          <t>5 家竞对按房量加权（见 03 号工作簿）</t>
        </is>
      </c>
    </row>
    <row r="22" ht="20" customHeight="1">
      <c r="A22" s="13" t="inlineStr">
        <is>
          <t>P</t>
        </is>
      </c>
      <c r="B22" s="6" t="inlineStr">
        <is>
          <t>渠道成本率</t>
        </is>
      </c>
      <c r="C22" s="5" t="inlineStr">
        <is>
          <t>输入</t>
        </is>
      </c>
      <c r="D22" s="14" t="inlineStr">
        <is>
          <t>默认 10.1%</t>
        </is>
      </c>
      <c r="E22" s="15" t="inlineStr">
        <is>
          <t>数据字典第三节自动加权结果</t>
        </is>
      </c>
    </row>
    <row r="23" ht="20" customHeight="1">
      <c r="A23" s="13" t="inlineStr">
        <is>
          <t>R</t>
        </is>
      </c>
      <c r="B23" s="6" t="inlineStr">
        <is>
          <t>昨日 Pickup</t>
        </is>
      </c>
      <c r="C23" s="5" t="inlineStr">
        <is>
          <t>输入</t>
        </is>
      </c>
      <c r="D23" s="14" t="inlineStr">
        <is>
          <t>净增预订房晚</t>
        </is>
      </c>
      <c r="E23" s="15" t="inlineStr">
        <is>
          <t>取自 02_Pickup 追踪表</t>
        </is>
      </c>
    </row>
    <row r="24" ht="20" customHeight="1">
      <c r="A24" s="13" t="inlineStr">
        <is>
          <t>F/H/I</t>
        </is>
      </c>
      <c r="B24" s="6" t="inlineStr">
        <is>
          <t>OCC/ADR/RevPAR</t>
        </is>
      </c>
      <c r="C24" s="9" t="inlineStr">
        <is>
          <t>公式</t>
        </is>
      </c>
      <c r="D24" s="14">
        <f>E/D ； =G/E ； =G/D</f>
        <v/>
      </c>
      <c r="E24" s="15" t="inlineStr">
        <is>
          <t>SPEC 3.1</t>
        </is>
      </c>
    </row>
    <row r="25" ht="20" customHeight="1">
      <c r="A25" s="13" t="inlineStr">
        <is>
          <t>L</t>
        </is>
      </c>
      <c r="B25" s="6" t="inlineStr">
        <is>
          <t>竞争组合 RevPAR</t>
        </is>
      </c>
      <c r="C25" s="9" t="inlineStr">
        <is>
          <t>公式</t>
        </is>
      </c>
      <c r="D25" s="14">
        <f>J*K</f>
        <v/>
      </c>
      <c r="E25" s="15" t="inlineStr">
        <is>
          <t>用于 RGI 分母</t>
        </is>
      </c>
    </row>
    <row r="26" ht="20" customHeight="1">
      <c r="A26" s="13" t="inlineStr">
        <is>
          <t>M</t>
        </is>
      </c>
      <c r="B26" s="6" t="inlineStr">
        <is>
          <t>MPI</t>
        </is>
      </c>
      <c r="C26" s="9" t="inlineStr">
        <is>
          <t>公式</t>
        </is>
      </c>
      <c r="D26" s="14">
        <f>F/J*100</f>
        <v/>
      </c>
      <c r="E26" s="15" t="inlineStr">
        <is>
          <t>市场渗透指数</t>
        </is>
      </c>
    </row>
    <row r="27" ht="20" customHeight="1">
      <c r="A27" s="13" t="inlineStr">
        <is>
          <t>N</t>
        </is>
      </c>
      <c r="B27" s="6" t="inlineStr">
        <is>
          <t>ARI</t>
        </is>
      </c>
      <c r="C27" s="9" t="inlineStr">
        <is>
          <t>公式</t>
        </is>
      </c>
      <c r="D27" s="14">
        <f>H/K*100</f>
        <v/>
      </c>
      <c r="E27" s="15" t="inlineStr">
        <is>
          <t>平均房价指数</t>
        </is>
      </c>
    </row>
    <row r="28" ht="20" customHeight="1">
      <c r="A28" s="13" t="inlineStr">
        <is>
          <t>O</t>
        </is>
      </c>
      <c r="B28" s="6" t="inlineStr">
        <is>
          <t>RGI</t>
        </is>
      </c>
      <c r="C28" s="9" t="inlineStr">
        <is>
          <t>公式</t>
        </is>
      </c>
      <c r="D28" s="14">
        <f>I/L*100</f>
        <v/>
      </c>
      <c r="E28" s="15" t="inlineStr">
        <is>
          <t>等价于 MPI×ARI÷100</t>
        </is>
      </c>
    </row>
    <row r="29" ht="20" customHeight="1">
      <c r="A29" s="13" t="inlineStr">
        <is>
          <t>Q</t>
        </is>
      </c>
      <c r="B29" s="6" t="inlineStr">
        <is>
          <t>NRevPAR</t>
        </is>
      </c>
      <c r="C29" s="9" t="inlineStr">
        <is>
          <t>公式</t>
        </is>
      </c>
      <c r="D29" s="14">
        <f>I*(1-P)</f>
        <v/>
      </c>
      <c r="E29" s="15" t="inlineStr">
        <is>
          <t>SPEC 3.1</t>
        </is>
      </c>
    </row>
    <row r="30" ht="20" customHeight="1">
      <c r="A30" s="13" t="inlineStr">
        <is>
          <t>S-U</t>
        </is>
      </c>
      <c r="B30" s="6" t="inlineStr">
        <is>
          <t>本月累计</t>
        </is>
      </c>
      <c r="C30" s="9" t="inlineStr">
        <is>
          <t>公式</t>
        </is>
      </c>
      <c r="D30" s="14" t="inlineStr">
        <is>
          <t>SUMIFS（EOMONTH 归月）</t>
        </is>
      </c>
      <c r="E30" s="15" t="inlineStr">
        <is>
          <t>自动按月累计</t>
        </is>
      </c>
    </row>
    <row r="31" ht="20" customHeight="1">
      <c r="A31" s="13" t="inlineStr">
        <is>
          <t>V-X</t>
        </is>
      </c>
      <c r="B31" s="6" t="inlineStr">
        <is>
          <t>预算</t>
        </is>
      </c>
      <c r="C31" s="9" t="inlineStr">
        <is>
          <t>公式</t>
        </is>
      </c>
      <c r="D31" s="14" t="inlineStr">
        <is>
          <t>INDEX(数据字典!月度参数,MONTH(A))</t>
        </is>
      </c>
      <c r="E31" s="15" t="inlineStr">
        <is>
          <t>SPEC 2.5</t>
        </is>
      </c>
    </row>
    <row r="32" ht="20" customHeight="1">
      <c r="A32" s="13" t="inlineStr">
        <is>
          <t>Y-AA</t>
        </is>
      </c>
      <c r="B32" s="6" t="inlineStr">
        <is>
          <t>达成率</t>
        </is>
      </c>
      <c r="C32" s="9" t="inlineStr">
        <is>
          <t>公式</t>
        </is>
      </c>
      <c r="D32" s="14" t="inlineStr">
        <is>
          <t>实际 ÷ 预算</t>
        </is>
      </c>
      <c r="E32" s="15" t="inlineStr">
        <is>
          <t>≥100% 达标（青绿）</t>
        </is>
      </c>
    </row>
    <row r="34" ht="22" customHeight="1">
      <c r="A34" s="3" t="inlineStr">
        <is>
          <t>四、使用步骤</t>
        </is>
      </c>
    </row>
    <row r="35" ht="20" customHeight="1">
      <c r="A35" s="16" t="n">
        <v>1</v>
      </c>
      <c r="B35" s="8" t="inlineStr">
        <is>
          <t>在「数据字典」页确认月度预算 OCC/ADR 与渠道成本率是否符合本店实际（默认取自 SPEC 2.5 / 2.3）。</t>
        </is>
      </c>
    </row>
    <row r="36" ht="20" customHeight="1">
      <c r="A36" s="16" t="n">
        <v>2</v>
      </c>
      <c r="B36" s="8" t="inlineStr">
        <is>
          <t>在「日报」页黄底列逐日填入：日期、需求等级、可售房量、已售房晚、客房收入、竞争组合 OCC/ADR、渠道成本率、昨日 Pickup。</t>
        </is>
      </c>
    </row>
    <row r="37" ht="20" customHeight="1">
      <c r="A37" s="16" t="n">
        <v>3</v>
      </c>
      <c r="B37" s="8" t="inlineStr">
        <is>
          <t>读白色列：先看 RevPAR 与达成率，再看 MPI / ARI / RGI 三维，判定当日是「份额问题」还是「价格问题」。</t>
        </is>
      </c>
    </row>
    <row r="38" ht="20" customHeight="1">
      <c r="A38" s="16" t="n">
        <v>4</v>
      </c>
      <c r="B38" s="8" t="inlineStr">
        <is>
          <t>把 MPI 代入《法典》表 D、ARI 代入表 C、RGI 看综合，得出动作；动作写入 04 号《调价台账》。</t>
        </is>
      </c>
    </row>
    <row r="39" ht="20" customHeight="1">
      <c r="A39" s="16" t="n">
        <v>5</v>
      </c>
      <c r="B39" s="8" t="inlineStr">
        <is>
          <t>每日 09:55 前完成台账登记（《法典》表 M）。</t>
        </is>
      </c>
    </row>
    <row r="41" ht="22" customHeight="1">
      <c r="A41" s="3" t="inlineStr">
        <is>
          <t>五、关联《收益管理操作法典》</t>
        </is>
      </c>
    </row>
    <row r="42" ht="18" customHeight="1">
      <c r="A42" s="4" t="inlineStr">
        <is>
          <t>表 C · 价格指数（ARI）判定表 —— ARI 列读出后直接查表 C 取动作。</t>
        </is>
      </c>
    </row>
    <row r="43" ht="18" customHeight="1">
      <c r="A43" s="4" t="inlineStr">
        <is>
          <t>表 D · 市场渗透指数（MPI）判定表 —— MPI 列读出后查表 D。</t>
        </is>
      </c>
    </row>
    <row r="44" ht="18" customHeight="1">
      <c r="A44" s="4" t="inlineStr">
        <is>
          <t>表 M · 每日收益操作流水线 —— 本表对应 07:30 与 07:50 两个节点。</t>
        </is>
      </c>
    </row>
    <row r="45" ht="18" customHeight="1">
      <c r="A45" s="4" t="inlineStr">
        <is>
          <t>表 O · 决策优先级 —— 表 D 优先级最低，多为分析而非动作；同日只执行优先级最高的一条。</t>
        </is>
      </c>
    </row>
    <row r="47" ht="18" customHeight="1">
      <c r="A47" s="17" t="inlineStr">
        <is>
          <t>杭州滨江云璟酒店 · 320 间房 · 中高端全服务 ｜ 酒店收益管理学院 HRMA ｜ 口径以 SPEC.md 为准</t>
        </is>
      </c>
    </row>
  </sheetData>
  <mergeCells count="24">
    <mergeCell ref="A34:E34"/>
    <mergeCell ref="D10:E10"/>
    <mergeCell ref="A1:E1"/>
    <mergeCell ref="A45:E45"/>
    <mergeCell ref="A6:E6"/>
    <mergeCell ref="B36:E36"/>
    <mergeCell ref="B35:E35"/>
    <mergeCell ref="D11:E11"/>
    <mergeCell ref="A41:E41"/>
    <mergeCell ref="A3:E3"/>
    <mergeCell ref="A2:E2"/>
    <mergeCell ref="A42:E42"/>
    <mergeCell ref="B39:E39"/>
    <mergeCell ref="A5:E5"/>
    <mergeCell ref="A47:E47"/>
    <mergeCell ref="A14:E14"/>
    <mergeCell ref="A8:E8"/>
    <mergeCell ref="D9:E9"/>
    <mergeCell ref="D12:E12"/>
    <mergeCell ref="A4:E4"/>
    <mergeCell ref="A43:E43"/>
    <mergeCell ref="B38:E38"/>
    <mergeCell ref="B37:E37"/>
    <mergeCell ref="A44:E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4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8" customWidth="1" min="4" max="4"/>
    <col width="8" customWidth="1" min="5" max="5"/>
    <col width="8" customWidth="1" min="6" max="6"/>
    <col width="11" customWidth="1" min="7" max="7"/>
    <col width="8" customWidth="1" min="8" max="8"/>
    <col width="9" customWidth="1" min="9" max="9"/>
    <col width="10" customWidth="1" min="10" max="10"/>
    <col width="10" customWidth="1" min="11" max="11"/>
    <col width="11" customWidth="1" min="12" max="12"/>
    <col width="8" customWidth="1" min="13" max="13"/>
    <col width="8" customWidth="1" min="14" max="14"/>
    <col width="8" customWidth="1" min="15" max="15"/>
    <col width="9" customWidth="1" min="16" max="16"/>
    <col width="9" customWidth="1" min="17" max="17"/>
    <col width="9" customWidth="1" min="18" max="18"/>
    <col width="10" customWidth="1" min="19" max="19"/>
    <col width="10" customWidth="1" min="20" max="20"/>
    <col width="11" customWidth="1" min="21" max="21"/>
    <col width="8" customWidth="1" min="22" max="22"/>
    <col width="8" customWidth="1" min="23" max="23"/>
    <col width="9" customWidth="1" min="24" max="24"/>
    <col width="9" customWidth="1" min="25" max="25"/>
    <col width="9" customWidth="1" min="26" max="26"/>
    <col width="10" customWidth="1" min="27" max="27"/>
  </cols>
  <sheetData>
    <row r="1" ht="30" customHeight="1">
      <c r="A1" s="1" t="inlineStr">
        <is>
          <t>每日收益日报 · 杭州滨江云璟酒店（320 间）</t>
        </is>
      </c>
    </row>
    <row r="2" ht="26" customHeight="1">
      <c r="A2" s="2" t="inlineStr">
        <is>
          <t>黄底=输入，白底=公式。先填 A/C/D/E/G/J/K/P/R 列，其余全部自动生成。示例数据为 2026 年 1 月，可直接覆盖。</t>
        </is>
      </c>
    </row>
    <row r="3" ht="38" customHeight="1">
      <c r="A3" s="12" t="inlineStr">
        <is>
          <t>日期</t>
        </is>
      </c>
      <c r="B3" s="12" t="inlineStr">
        <is>
          <t>星期</t>
        </is>
      </c>
      <c r="C3" s="12" t="inlineStr">
        <is>
          <t>需求
等级</t>
        </is>
      </c>
      <c r="D3" s="12" t="inlineStr">
        <is>
          <t>可售
房量</t>
        </is>
      </c>
      <c r="E3" s="12" t="inlineStr">
        <is>
          <t>已售
房晚</t>
        </is>
      </c>
      <c r="F3" s="12" t="inlineStr">
        <is>
          <t>OCC</t>
        </is>
      </c>
      <c r="G3" s="12" t="inlineStr">
        <is>
          <t>客房收入</t>
        </is>
      </c>
      <c r="H3" s="12" t="inlineStr">
        <is>
          <t>ADR</t>
        </is>
      </c>
      <c r="I3" s="12" t="inlineStr">
        <is>
          <t>RevPAR</t>
        </is>
      </c>
      <c r="J3" s="12" t="inlineStr">
        <is>
          <t>竞争组合
OCC</t>
        </is>
      </c>
      <c r="K3" s="12" t="inlineStr">
        <is>
          <t>竞争组合
ADR</t>
        </is>
      </c>
      <c r="L3" s="12" t="inlineStr">
        <is>
          <t>竞争组合
RevPAR</t>
        </is>
      </c>
      <c r="M3" s="12" t="inlineStr">
        <is>
          <t>MPI</t>
        </is>
      </c>
      <c r="N3" s="12" t="inlineStr">
        <is>
          <t>ARI</t>
        </is>
      </c>
      <c r="O3" s="12" t="inlineStr">
        <is>
          <t>RGI</t>
        </is>
      </c>
      <c r="P3" s="12" t="inlineStr">
        <is>
          <t>渠道
成本率</t>
        </is>
      </c>
      <c r="Q3" s="12" t="inlineStr">
        <is>
          <t>NRevPAR</t>
        </is>
      </c>
      <c r="R3" s="12" t="inlineStr">
        <is>
          <t>昨日
Pickup</t>
        </is>
      </c>
      <c r="S3" s="12" t="inlineStr">
        <is>
          <t>本月累计
OCC</t>
        </is>
      </c>
      <c r="T3" s="12" t="inlineStr">
        <is>
          <t>本月累计
ADR</t>
        </is>
      </c>
      <c r="U3" s="12" t="inlineStr">
        <is>
          <t>本月累计
RevPAR</t>
        </is>
      </c>
      <c r="V3" s="12" t="inlineStr">
        <is>
          <t>预算
OCC</t>
        </is>
      </c>
      <c r="W3" s="12" t="inlineStr">
        <is>
          <t>预算
ADR</t>
        </is>
      </c>
      <c r="X3" s="12" t="inlineStr">
        <is>
          <t>预算
RevPAR</t>
        </is>
      </c>
      <c r="Y3" s="12" t="inlineStr">
        <is>
          <t>达成率
OCC</t>
        </is>
      </c>
      <c r="Z3" s="12" t="inlineStr">
        <is>
          <t>达成率
ADR</t>
        </is>
      </c>
      <c r="AA3" s="12" t="inlineStr">
        <is>
          <t>达成率
RevPAR</t>
        </is>
      </c>
    </row>
    <row r="4">
      <c r="A4" s="18" t="n">
        <v>46023</v>
      </c>
      <c r="B4" s="9">
        <f>IF($A4="","",CHOOSE(WEEKDAY(A4,2),"周一","周二","周三","周四","周五","周六","周日"))</f>
        <v/>
      </c>
      <c r="C4" s="5" t="inlineStr">
        <is>
          <t>D1</t>
        </is>
      </c>
      <c r="D4" s="19" t="n">
        <v>320</v>
      </c>
      <c r="E4" s="19" t="n">
        <v>282</v>
      </c>
      <c r="F4" s="20">
        <f>IFERROR($E4/$D4,"")</f>
        <v/>
      </c>
      <c r="G4" s="21" t="n">
        <v>190350</v>
      </c>
      <c r="H4" s="22">
        <f>IFERROR($G4/$E4,"")</f>
        <v/>
      </c>
      <c r="I4" s="22">
        <f>IFERROR($G4/$D4,"")</f>
        <v/>
      </c>
      <c r="J4" s="23" t="n">
        <v>0.7296</v>
      </c>
      <c r="K4" s="21" t="n">
        <v>692</v>
      </c>
      <c r="L4" s="22">
        <f>IFERROR($J4*$K4,"")</f>
        <v/>
      </c>
      <c r="M4" s="24">
        <f>IFERROR($F4/$J4*100,"")</f>
        <v/>
      </c>
      <c r="N4" s="24">
        <f>IFERROR($H4/$K4*100,"")</f>
        <v/>
      </c>
      <c r="O4" s="24">
        <f>IFERROR($I4/$L4*100,"")</f>
        <v/>
      </c>
      <c r="P4" s="25" t="n">
        <v>0.101</v>
      </c>
      <c r="Q4" s="22">
        <f>IFERROR($I4*(1-$P4),"")</f>
        <v/>
      </c>
      <c r="R4" s="19" t="n"/>
      <c r="S4" s="20">
        <f>IFERROR(SUMIFS($E$4,$A$4:$A$34,"&gt;="&amp;EOMONTH($A4,-1)+1,$A$4:$A$34,"&lt;="&amp;EOMONTH($A4,0))/SUMIFS($D$4,$A$4:$A$34,"&gt;="&amp;EOMONTH($A4,-1)+1,$A$4:$A$34,"&lt;="&amp;EOMONTH($A4,0)),"")</f>
        <v/>
      </c>
      <c r="T4" s="22">
        <f>IFERROR(SUMIFS($G$4,$A$4:$A$34,"&gt;="&amp;EOMONTH($A4,-1)+1,$A$4:$A$34,"&lt;="&amp;EOMONTH($A4,0))/SUMIFS($E$4,$A$4:$A$34,"&gt;="&amp;EOMONTH($A4,-1)+1,$A$4:$A$34,"&lt;="&amp;EOMONTH($A4,0)),"")</f>
        <v/>
      </c>
      <c r="U4" s="22">
        <f>IFERROR(SUMIFS($G$4,$A$4:$A$34,"&gt;="&amp;EOMONTH($A4,-1)+1,$A$4:$A$34,"&lt;="&amp;EOMONTH($A4,0))/SUMIFS($D$4,$A$4:$A$34,"&gt;="&amp;EOMONTH($A4,-1)+1,$A$4:$A$34,"&lt;="&amp;EOMONTH($A4,0)),"")</f>
        <v/>
      </c>
      <c r="V4" s="20">
        <f>IF($A4="","",IFERROR(INDEX(数据字典!$B$5:$B$16,MONTH($A4)),""))</f>
        <v/>
      </c>
      <c r="W4" s="26">
        <f>IF($A4="","",IFERROR(INDEX(数据字典!$C$5:$C$16,MONTH($A4)),""))</f>
        <v/>
      </c>
      <c r="X4" s="22">
        <f>IFERROR($V4*$W4,"")</f>
        <v/>
      </c>
      <c r="Y4" s="20">
        <f>IFERROR($F4/$V4,"")</f>
        <v/>
      </c>
      <c r="Z4" s="20">
        <f>IFERROR($H4/$W4,"")</f>
        <v/>
      </c>
      <c r="AA4" s="20">
        <f>IFERROR($I4/$X4,"")</f>
        <v/>
      </c>
    </row>
    <row r="5">
      <c r="A5" s="18" t="n">
        <v>46024</v>
      </c>
      <c r="B5" s="9">
        <f>IF($A5="","",CHOOSE(WEEKDAY(A5,2),"周一","周二","周三","周四","周五","周六","周日"))</f>
        <v/>
      </c>
      <c r="C5" s="5" t="inlineStr">
        <is>
          <t>D1</t>
        </is>
      </c>
      <c r="D5" s="19" t="n">
        <v>320</v>
      </c>
      <c r="E5" s="19" t="n">
        <v>269</v>
      </c>
      <c r="F5" s="20">
        <f>IFERROR($E5/$D5,"")</f>
        <v/>
      </c>
      <c r="G5" s="21" t="n">
        <v>178616</v>
      </c>
      <c r="H5" s="22">
        <f>IFERROR($G5/$E5,"")</f>
        <v/>
      </c>
      <c r="I5" s="22">
        <f>IFERROR($G5/$D5,"")</f>
        <v/>
      </c>
      <c r="J5" s="23" t="n">
        <v>0.6801</v>
      </c>
      <c r="K5" s="21" t="n">
        <v>681</v>
      </c>
      <c r="L5" s="22">
        <f>IFERROR($J5*$K5,"")</f>
        <v/>
      </c>
      <c r="M5" s="24">
        <f>IFERROR($F5/$J5*100,"")</f>
        <v/>
      </c>
      <c r="N5" s="24">
        <f>IFERROR($H5/$K5*100,"")</f>
        <v/>
      </c>
      <c r="O5" s="24">
        <f>IFERROR($I5/$L5*100,"")</f>
        <v/>
      </c>
      <c r="P5" s="25" t="n">
        <v>0.101</v>
      </c>
      <c r="Q5" s="22">
        <f>IFERROR($I5*(1-$P5),"")</f>
        <v/>
      </c>
      <c r="R5" s="19" t="n">
        <v>16</v>
      </c>
      <c r="S5" s="20">
        <f>IFERROR(SUMIFS($E$4,$A$4:$A$34,"&gt;="&amp;EOMONTH($A5,-1)+1,$A$4:$A$34,"&lt;="&amp;EOMONTH($A5,0))/SUMIFS($D$4,$A$4:$A$34,"&gt;="&amp;EOMONTH($A5,-1)+1,$A$4:$A$34,"&lt;="&amp;EOMONTH($A5,0)),"")</f>
        <v/>
      </c>
      <c r="T5" s="22">
        <f>IFERROR(SUMIFS($G$4,$A$4:$A$34,"&gt;="&amp;EOMONTH($A5,-1)+1,$A$4:$A$34,"&lt;="&amp;EOMONTH($A5,0))/SUMIFS($E$4,$A$4:$A$34,"&gt;="&amp;EOMONTH($A5,-1)+1,$A$4:$A$34,"&lt;="&amp;EOMONTH($A5,0)),"")</f>
        <v/>
      </c>
      <c r="U5" s="22">
        <f>IFERROR(SUMIFS($G$4,$A$4:$A$34,"&gt;="&amp;EOMONTH($A5,-1)+1,$A$4:$A$34,"&lt;="&amp;EOMONTH($A5,0))/SUMIFS($D$4,$A$4:$A$34,"&gt;="&amp;EOMONTH($A5,-1)+1,$A$4:$A$34,"&lt;="&amp;EOMONTH($A5,0)),"")</f>
        <v/>
      </c>
      <c r="V5" s="20">
        <f>IF($A5="","",IFERROR(INDEX(数据字典!$B$5:$B$16,MONTH($A5)),""))</f>
        <v/>
      </c>
      <c r="W5" s="26">
        <f>IF($A5="","",IFERROR(INDEX(数据字典!$C$5:$C$16,MONTH($A5)),""))</f>
        <v/>
      </c>
      <c r="X5" s="22">
        <f>IFERROR($V5*$W5,"")</f>
        <v/>
      </c>
      <c r="Y5" s="20">
        <f>IFERROR($F5/$V5,"")</f>
        <v/>
      </c>
      <c r="Z5" s="20">
        <f>IFERROR($H5/$W5,"")</f>
        <v/>
      </c>
      <c r="AA5" s="20">
        <f>IFERROR($I5/$X5,"")</f>
        <v/>
      </c>
    </row>
    <row r="6">
      <c r="A6" s="18" t="n">
        <v>46025</v>
      </c>
      <c r="B6" s="9">
        <f>IF($A6="","",CHOOSE(WEEKDAY(A6,2),"周一","周二","周三","周四","周五","周六","周日"))</f>
        <v/>
      </c>
      <c r="C6" s="5" t="inlineStr">
        <is>
          <t>D1</t>
        </is>
      </c>
      <c r="D6" s="19" t="n">
        <v>320</v>
      </c>
      <c r="E6" s="19" t="n">
        <v>259</v>
      </c>
      <c r="F6" s="20">
        <f>IFERROR($E6/$D6,"")</f>
        <v/>
      </c>
      <c r="G6" s="21" t="n">
        <v>176379</v>
      </c>
      <c r="H6" s="22">
        <f>IFERROR($G6/$E6,"")</f>
        <v/>
      </c>
      <c r="I6" s="22">
        <f>IFERROR($G6/$D6,"")</f>
        <v/>
      </c>
      <c r="J6" s="23" t="n">
        <v>0.7126</v>
      </c>
      <c r="K6" s="21" t="n">
        <v>665</v>
      </c>
      <c r="L6" s="22">
        <f>IFERROR($J6*$K6,"")</f>
        <v/>
      </c>
      <c r="M6" s="24">
        <f>IFERROR($F6/$J6*100,"")</f>
        <v/>
      </c>
      <c r="N6" s="24">
        <f>IFERROR($H6/$K6*100,"")</f>
        <v/>
      </c>
      <c r="O6" s="24">
        <f>IFERROR($I6/$L6*100,"")</f>
        <v/>
      </c>
      <c r="P6" s="25" t="n">
        <v>0.101</v>
      </c>
      <c r="Q6" s="22">
        <f>IFERROR($I6*(1-$P6),"")</f>
        <v/>
      </c>
      <c r="R6" s="19" t="n">
        <v>15</v>
      </c>
      <c r="S6" s="20">
        <f>IFERROR(SUMIFS($E$4,$A$4:$A$34,"&gt;="&amp;EOMONTH($A6,-1)+1,$A$4:$A$34,"&lt;="&amp;EOMONTH($A6,0))/SUMIFS($D$4,$A$4:$A$34,"&gt;="&amp;EOMONTH($A6,-1)+1,$A$4:$A$34,"&lt;="&amp;EOMONTH($A6,0)),"")</f>
        <v/>
      </c>
      <c r="T6" s="22">
        <f>IFERROR(SUMIFS($G$4,$A$4:$A$34,"&gt;="&amp;EOMONTH($A6,-1)+1,$A$4:$A$34,"&lt;="&amp;EOMONTH($A6,0))/SUMIFS($E$4,$A$4:$A$34,"&gt;="&amp;EOMONTH($A6,-1)+1,$A$4:$A$34,"&lt;="&amp;EOMONTH($A6,0)),"")</f>
        <v/>
      </c>
      <c r="U6" s="22">
        <f>IFERROR(SUMIFS($G$4,$A$4:$A$34,"&gt;="&amp;EOMONTH($A6,-1)+1,$A$4:$A$34,"&lt;="&amp;EOMONTH($A6,0))/SUMIFS($D$4,$A$4:$A$34,"&gt;="&amp;EOMONTH($A6,-1)+1,$A$4:$A$34,"&lt;="&amp;EOMONTH($A6,0)),"")</f>
        <v/>
      </c>
      <c r="V6" s="20">
        <f>IF($A6="","",IFERROR(INDEX(数据字典!$B$5:$B$16,MONTH($A6)),""))</f>
        <v/>
      </c>
      <c r="W6" s="26">
        <f>IF($A6="","",IFERROR(INDEX(数据字典!$C$5:$C$16,MONTH($A6)),""))</f>
        <v/>
      </c>
      <c r="X6" s="22">
        <f>IFERROR($V6*$W6,"")</f>
        <v/>
      </c>
      <c r="Y6" s="20">
        <f>IFERROR($F6/$V6,"")</f>
        <v/>
      </c>
      <c r="Z6" s="20">
        <f>IFERROR($H6/$W6,"")</f>
        <v/>
      </c>
      <c r="AA6" s="20">
        <f>IFERROR($I6/$X6,"")</f>
        <v/>
      </c>
    </row>
    <row r="7">
      <c r="A7" s="18" t="n">
        <v>46026</v>
      </c>
      <c r="B7" s="9">
        <f>IF($A7="","",CHOOSE(WEEKDAY(A7,2),"周一","周二","周三","周四","周五","周六","周日"))</f>
        <v/>
      </c>
      <c r="C7" s="5" t="inlineStr">
        <is>
          <t>D3</t>
        </is>
      </c>
      <c r="D7" s="19" t="n">
        <v>320</v>
      </c>
      <c r="E7" s="19" t="n">
        <v>190</v>
      </c>
      <c r="F7" s="20">
        <f>IFERROR($E7/$D7,"")</f>
        <v/>
      </c>
      <c r="G7" s="21" t="n">
        <v>107920</v>
      </c>
      <c r="H7" s="22">
        <f>IFERROR($G7/$E7,"")</f>
        <v/>
      </c>
      <c r="I7" s="22">
        <f>IFERROR($G7/$D7,"")</f>
        <v/>
      </c>
      <c r="J7" s="23" t="n">
        <v>0.7234</v>
      </c>
      <c r="K7" s="21" t="n">
        <v>661</v>
      </c>
      <c r="L7" s="22">
        <f>IFERROR($J7*$K7,"")</f>
        <v/>
      </c>
      <c r="M7" s="24">
        <f>IFERROR($F7/$J7*100,"")</f>
        <v/>
      </c>
      <c r="N7" s="24">
        <f>IFERROR($H7/$K7*100,"")</f>
        <v/>
      </c>
      <c r="O7" s="24">
        <f>IFERROR($I7/$L7*100,"")</f>
        <v/>
      </c>
      <c r="P7" s="25" t="n">
        <v>0.101</v>
      </c>
      <c r="Q7" s="22">
        <f>IFERROR($I7*(1-$P7),"")</f>
        <v/>
      </c>
      <c r="R7" s="19" t="n">
        <v>2</v>
      </c>
      <c r="S7" s="20">
        <f>IFERROR(SUMIFS($E$4,$A$4:$A$34,"&gt;="&amp;EOMONTH($A7,-1)+1,$A$4:$A$34,"&lt;="&amp;EOMONTH($A7,0))/SUMIFS($D$4,$A$4:$A$34,"&gt;="&amp;EOMONTH($A7,-1)+1,$A$4:$A$34,"&lt;="&amp;EOMONTH($A7,0)),"")</f>
        <v/>
      </c>
      <c r="T7" s="22">
        <f>IFERROR(SUMIFS($G$4,$A$4:$A$34,"&gt;="&amp;EOMONTH($A7,-1)+1,$A$4:$A$34,"&lt;="&amp;EOMONTH($A7,0))/SUMIFS($E$4,$A$4:$A$34,"&gt;="&amp;EOMONTH($A7,-1)+1,$A$4:$A$34,"&lt;="&amp;EOMONTH($A7,0)),"")</f>
        <v/>
      </c>
      <c r="U7" s="22">
        <f>IFERROR(SUMIFS($G$4,$A$4:$A$34,"&gt;="&amp;EOMONTH($A7,-1)+1,$A$4:$A$34,"&lt;="&amp;EOMONTH($A7,0))/SUMIFS($D$4,$A$4:$A$34,"&gt;="&amp;EOMONTH($A7,-1)+1,$A$4:$A$34,"&lt;="&amp;EOMONTH($A7,0)),"")</f>
        <v/>
      </c>
      <c r="V7" s="20">
        <f>IF($A7="","",IFERROR(INDEX(数据字典!$B$5:$B$16,MONTH($A7)),""))</f>
        <v/>
      </c>
      <c r="W7" s="26">
        <f>IF($A7="","",IFERROR(INDEX(数据字典!$C$5:$C$16,MONTH($A7)),""))</f>
        <v/>
      </c>
      <c r="X7" s="22">
        <f>IFERROR($V7*$W7,"")</f>
        <v/>
      </c>
      <c r="Y7" s="20">
        <f>IFERROR($F7/$V7,"")</f>
        <v/>
      </c>
      <c r="Z7" s="20">
        <f>IFERROR($H7/$W7,"")</f>
        <v/>
      </c>
      <c r="AA7" s="20">
        <f>IFERROR($I7/$X7,"")</f>
        <v/>
      </c>
    </row>
    <row r="8">
      <c r="A8" s="18" t="n">
        <v>46027</v>
      </c>
      <c r="B8" s="9">
        <f>IF($A8="","",CHOOSE(WEEKDAY(A8,2),"周一","周二","周三","周四","周五","周六","周日"))</f>
        <v/>
      </c>
      <c r="C8" s="5" t="inlineStr">
        <is>
          <t>D4</t>
        </is>
      </c>
      <c r="D8" s="19" t="n">
        <v>320</v>
      </c>
      <c r="E8" s="19" t="n">
        <v>170</v>
      </c>
      <c r="F8" s="20">
        <f>IFERROR($E8/$D8,"")</f>
        <v/>
      </c>
      <c r="G8" s="21" t="n">
        <v>88910</v>
      </c>
      <c r="H8" s="22">
        <f>IFERROR($G8/$E8,"")</f>
        <v/>
      </c>
      <c r="I8" s="22">
        <f>IFERROR($G8/$D8,"")</f>
        <v/>
      </c>
      <c r="J8" s="23" t="n">
        <v>0.6826</v>
      </c>
      <c r="K8" s="21" t="n">
        <v>690</v>
      </c>
      <c r="L8" s="22">
        <f>IFERROR($J8*$K8,"")</f>
        <v/>
      </c>
      <c r="M8" s="24">
        <f>IFERROR($F8/$J8*100,"")</f>
        <v/>
      </c>
      <c r="N8" s="24">
        <f>IFERROR($H8/$K8*100,"")</f>
        <v/>
      </c>
      <c r="O8" s="24">
        <f>IFERROR($I8/$L8*100,"")</f>
        <v/>
      </c>
      <c r="P8" s="25" t="n">
        <v>0.101</v>
      </c>
      <c r="Q8" s="22">
        <f>IFERROR($I8*(1-$P8),"")</f>
        <v/>
      </c>
      <c r="R8" s="19" t="n">
        <v>13</v>
      </c>
      <c r="S8" s="20">
        <f>IFERROR(SUMIFS($E$4,$A$4:$A$34,"&gt;="&amp;EOMONTH($A8,-1)+1,$A$4:$A$34,"&lt;="&amp;EOMONTH($A8,0))/SUMIFS($D$4,$A$4:$A$34,"&gt;="&amp;EOMONTH($A8,-1)+1,$A$4:$A$34,"&lt;="&amp;EOMONTH($A8,0)),"")</f>
        <v/>
      </c>
      <c r="T8" s="22">
        <f>IFERROR(SUMIFS($G$4,$A$4:$A$34,"&gt;="&amp;EOMONTH($A8,-1)+1,$A$4:$A$34,"&lt;="&amp;EOMONTH($A8,0))/SUMIFS($E$4,$A$4:$A$34,"&gt;="&amp;EOMONTH($A8,-1)+1,$A$4:$A$34,"&lt;="&amp;EOMONTH($A8,0)),"")</f>
        <v/>
      </c>
      <c r="U8" s="22">
        <f>IFERROR(SUMIFS($G$4,$A$4:$A$34,"&gt;="&amp;EOMONTH($A8,-1)+1,$A$4:$A$34,"&lt;="&amp;EOMONTH($A8,0))/SUMIFS($D$4,$A$4:$A$34,"&gt;="&amp;EOMONTH($A8,-1)+1,$A$4:$A$34,"&lt;="&amp;EOMONTH($A8,0)),"")</f>
        <v/>
      </c>
      <c r="V8" s="20">
        <f>IF($A8="","",IFERROR(INDEX(数据字典!$B$5:$B$16,MONTH($A8)),""))</f>
        <v/>
      </c>
      <c r="W8" s="26">
        <f>IF($A8="","",IFERROR(INDEX(数据字典!$C$5:$C$16,MONTH($A8)),""))</f>
        <v/>
      </c>
      <c r="X8" s="22">
        <f>IFERROR($V8*$W8,"")</f>
        <v/>
      </c>
      <c r="Y8" s="20">
        <f>IFERROR($F8/$V8,"")</f>
        <v/>
      </c>
      <c r="Z8" s="20">
        <f>IFERROR($H8/$W8,"")</f>
        <v/>
      </c>
      <c r="AA8" s="20">
        <f>IFERROR($I8/$X8,"")</f>
        <v/>
      </c>
    </row>
    <row r="9">
      <c r="A9" s="18" t="n">
        <v>46028</v>
      </c>
      <c r="B9" s="9">
        <f>IF($A9="","",CHOOSE(WEEKDAY(A9,2),"周一","周二","周三","周四","周五","周六","周日"))</f>
        <v/>
      </c>
      <c r="C9" s="5" t="inlineStr">
        <is>
          <t>D4</t>
        </is>
      </c>
      <c r="D9" s="19" t="n">
        <v>320</v>
      </c>
      <c r="E9" s="19" t="n">
        <v>183</v>
      </c>
      <c r="F9" s="20">
        <f>IFERROR($E9/$D9,"")</f>
        <v/>
      </c>
      <c r="G9" s="21" t="n">
        <v>92781</v>
      </c>
      <c r="H9" s="22">
        <f>IFERROR($G9/$E9,"")</f>
        <v/>
      </c>
      <c r="I9" s="22">
        <f>IFERROR($G9/$D9,"")</f>
        <v/>
      </c>
      <c r="J9" s="23" t="n">
        <v>0.6843</v>
      </c>
      <c r="K9" s="21" t="n">
        <v>665</v>
      </c>
      <c r="L9" s="22">
        <f>IFERROR($J9*$K9,"")</f>
        <v/>
      </c>
      <c r="M9" s="24">
        <f>IFERROR($F9/$J9*100,"")</f>
        <v/>
      </c>
      <c r="N9" s="24">
        <f>IFERROR($H9/$K9*100,"")</f>
        <v/>
      </c>
      <c r="O9" s="24">
        <f>IFERROR($I9/$L9*100,"")</f>
        <v/>
      </c>
      <c r="P9" s="25" t="n">
        <v>0.101</v>
      </c>
      <c r="Q9" s="22">
        <f>IFERROR($I9*(1-$P9),"")</f>
        <v/>
      </c>
      <c r="R9" s="19" t="n">
        <v>6</v>
      </c>
      <c r="S9" s="20">
        <f>IFERROR(SUMIFS($E$4,$A$4:$A$34,"&gt;="&amp;EOMONTH($A9,-1)+1,$A$4:$A$34,"&lt;="&amp;EOMONTH($A9,0))/SUMIFS($D$4,$A$4:$A$34,"&gt;="&amp;EOMONTH($A9,-1)+1,$A$4:$A$34,"&lt;="&amp;EOMONTH($A9,0)),"")</f>
        <v/>
      </c>
      <c r="T9" s="22">
        <f>IFERROR(SUMIFS($G$4,$A$4:$A$34,"&gt;="&amp;EOMONTH($A9,-1)+1,$A$4:$A$34,"&lt;="&amp;EOMONTH($A9,0))/SUMIFS($E$4,$A$4:$A$34,"&gt;="&amp;EOMONTH($A9,-1)+1,$A$4:$A$34,"&lt;="&amp;EOMONTH($A9,0)),"")</f>
        <v/>
      </c>
      <c r="U9" s="22">
        <f>IFERROR(SUMIFS($G$4,$A$4:$A$34,"&gt;="&amp;EOMONTH($A9,-1)+1,$A$4:$A$34,"&lt;="&amp;EOMONTH($A9,0))/SUMIFS($D$4,$A$4:$A$34,"&gt;="&amp;EOMONTH($A9,-1)+1,$A$4:$A$34,"&lt;="&amp;EOMONTH($A9,0)),"")</f>
        <v/>
      </c>
      <c r="V9" s="20">
        <f>IF($A9="","",IFERROR(INDEX(数据字典!$B$5:$B$16,MONTH($A9)),""))</f>
        <v/>
      </c>
      <c r="W9" s="26">
        <f>IF($A9="","",IFERROR(INDEX(数据字典!$C$5:$C$16,MONTH($A9)),""))</f>
        <v/>
      </c>
      <c r="X9" s="22">
        <f>IFERROR($V9*$W9,"")</f>
        <v/>
      </c>
      <c r="Y9" s="20">
        <f>IFERROR($F9/$V9,"")</f>
        <v/>
      </c>
      <c r="Z9" s="20">
        <f>IFERROR($H9/$W9,"")</f>
        <v/>
      </c>
      <c r="AA9" s="20">
        <f>IFERROR($I9/$X9,"")</f>
        <v/>
      </c>
    </row>
    <row r="10">
      <c r="A10" s="18" t="n">
        <v>46029</v>
      </c>
      <c r="B10" s="9">
        <f>IF($A10="","",CHOOSE(WEEKDAY(A10,2),"周一","周二","周三","周四","周五","周六","周日"))</f>
        <v/>
      </c>
      <c r="C10" s="5" t="inlineStr">
        <is>
          <t>D4</t>
        </is>
      </c>
      <c r="D10" s="19" t="n">
        <v>320</v>
      </c>
      <c r="E10" s="19" t="n">
        <v>173</v>
      </c>
      <c r="F10" s="20">
        <f>IFERROR($E10/$D10,"")</f>
        <v/>
      </c>
      <c r="G10" s="21" t="n">
        <v>90306</v>
      </c>
      <c r="H10" s="22">
        <f>IFERROR($G10/$E10,"")</f>
        <v/>
      </c>
      <c r="I10" s="22">
        <f>IFERROR($G10/$D10,"")</f>
        <v/>
      </c>
      <c r="J10" s="23" t="n">
        <v>0.7378</v>
      </c>
      <c r="K10" s="21" t="n">
        <v>697</v>
      </c>
      <c r="L10" s="22">
        <f>IFERROR($J10*$K10,"")</f>
        <v/>
      </c>
      <c r="M10" s="24">
        <f>IFERROR($F10/$J10*100,"")</f>
        <v/>
      </c>
      <c r="N10" s="24">
        <f>IFERROR($H10/$K10*100,"")</f>
        <v/>
      </c>
      <c r="O10" s="24">
        <f>IFERROR($I10/$L10*100,"")</f>
        <v/>
      </c>
      <c r="P10" s="25" t="n">
        <v>0.101</v>
      </c>
      <c r="Q10" s="22">
        <f>IFERROR($I10*(1-$P10),"")</f>
        <v/>
      </c>
      <c r="R10" s="19" t="n">
        <v>11</v>
      </c>
      <c r="S10" s="20">
        <f>IFERROR(SUMIFS($E$4,$A$4:$A$34,"&gt;="&amp;EOMONTH($A10,-1)+1,$A$4:$A$34,"&lt;="&amp;EOMONTH($A10,0))/SUMIFS($D$4,$A$4:$A$34,"&gt;="&amp;EOMONTH($A10,-1)+1,$A$4:$A$34,"&lt;="&amp;EOMONTH($A10,0)),"")</f>
        <v/>
      </c>
      <c r="T10" s="22">
        <f>IFERROR(SUMIFS($G$4,$A$4:$A$34,"&gt;="&amp;EOMONTH($A10,-1)+1,$A$4:$A$34,"&lt;="&amp;EOMONTH($A10,0))/SUMIFS($E$4,$A$4:$A$34,"&gt;="&amp;EOMONTH($A10,-1)+1,$A$4:$A$34,"&lt;="&amp;EOMONTH($A10,0)),"")</f>
        <v/>
      </c>
      <c r="U10" s="22">
        <f>IFERROR(SUMIFS($G$4,$A$4:$A$34,"&gt;="&amp;EOMONTH($A10,-1)+1,$A$4:$A$34,"&lt;="&amp;EOMONTH($A10,0))/SUMIFS($D$4,$A$4:$A$34,"&gt;="&amp;EOMONTH($A10,-1)+1,$A$4:$A$34,"&lt;="&amp;EOMONTH($A10,0)),"")</f>
        <v/>
      </c>
      <c r="V10" s="20">
        <f>IF($A10="","",IFERROR(INDEX(数据字典!$B$5:$B$16,MONTH($A10)),""))</f>
        <v/>
      </c>
      <c r="W10" s="26">
        <f>IF($A10="","",IFERROR(INDEX(数据字典!$C$5:$C$16,MONTH($A10)),""))</f>
        <v/>
      </c>
      <c r="X10" s="22">
        <f>IFERROR($V10*$W10,"")</f>
        <v/>
      </c>
      <c r="Y10" s="20">
        <f>IFERROR($F10/$V10,"")</f>
        <v/>
      </c>
      <c r="Z10" s="20">
        <f>IFERROR($H10/$W10,"")</f>
        <v/>
      </c>
      <c r="AA10" s="20">
        <f>IFERROR($I10/$X10,"")</f>
        <v/>
      </c>
    </row>
    <row r="11">
      <c r="A11" s="18" t="n">
        <v>46030</v>
      </c>
      <c r="B11" s="9">
        <f>IF($A11="","",CHOOSE(WEEKDAY(A11,2),"周一","周二","周三","周四","周五","周六","周日"))</f>
        <v/>
      </c>
      <c r="C11" s="5" t="inlineStr">
        <is>
          <t>D4</t>
        </is>
      </c>
      <c r="D11" s="19" t="n">
        <v>320</v>
      </c>
      <c r="E11" s="19" t="n">
        <v>186</v>
      </c>
      <c r="F11" s="20">
        <f>IFERROR($E11/$D11,"")</f>
        <v/>
      </c>
      <c r="G11" s="21" t="n">
        <v>99510</v>
      </c>
      <c r="H11" s="22">
        <f>IFERROR($G11/$E11,"")</f>
        <v/>
      </c>
      <c r="I11" s="22">
        <f>IFERROR($G11/$D11,"")</f>
        <v/>
      </c>
      <c r="J11" s="23" t="n">
        <v>0.7173</v>
      </c>
      <c r="K11" s="21" t="n">
        <v>657</v>
      </c>
      <c r="L11" s="22">
        <f>IFERROR($J11*$K11,"")</f>
        <v/>
      </c>
      <c r="M11" s="24">
        <f>IFERROR($F11/$J11*100,"")</f>
        <v/>
      </c>
      <c r="N11" s="24">
        <f>IFERROR($H11/$K11*100,"")</f>
        <v/>
      </c>
      <c r="O11" s="24">
        <f>IFERROR($I11/$L11*100,"")</f>
        <v/>
      </c>
      <c r="P11" s="25" t="n">
        <v>0.101</v>
      </c>
      <c r="Q11" s="22">
        <f>IFERROR($I11*(1-$P11),"")</f>
        <v/>
      </c>
      <c r="R11" s="19" t="n">
        <v>25</v>
      </c>
      <c r="S11" s="20">
        <f>IFERROR(SUMIFS($E$4,$A$4:$A$34,"&gt;="&amp;EOMONTH($A11,-1)+1,$A$4:$A$34,"&lt;="&amp;EOMONTH($A11,0))/SUMIFS($D$4,$A$4:$A$34,"&gt;="&amp;EOMONTH($A11,-1)+1,$A$4:$A$34,"&lt;="&amp;EOMONTH($A11,0)),"")</f>
        <v/>
      </c>
      <c r="T11" s="22">
        <f>IFERROR(SUMIFS($G$4,$A$4:$A$34,"&gt;="&amp;EOMONTH($A11,-1)+1,$A$4:$A$34,"&lt;="&amp;EOMONTH($A11,0))/SUMIFS($E$4,$A$4:$A$34,"&gt;="&amp;EOMONTH($A11,-1)+1,$A$4:$A$34,"&lt;="&amp;EOMONTH($A11,0)),"")</f>
        <v/>
      </c>
      <c r="U11" s="22">
        <f>IFERROR(SUMIFS($G$4,$A$4:$A$34,"&gt;="&amp;EOMONTH($A11,-1)+1,$A$4:$A$34,"&lt;="&amp;EOMONTH($A11,0))/SUMIFS($D$4,$A$4:$A$34,"&gt;="&amp;EOMONTH($A11,-1)+1,$A$4:$A$34,"&lt;="&amp;EOMONTH($A11,0)),"")</f>
        <v/>
      </c>
      <c r="V11" s="20">
        <f>IF($A11="","",IFERROR(INDEX(数据字典!$B$5:$B$16,MONTH($A11)),""))</f>
        <v/>
      </c>
      <c r="W11" s="26">
        <f>IF($A11="","",IFERROR(INDEX(数据字典!$C$5:$C$16,MONTH($A11)),""))</f>
        <v/>
      </c>
      <c r="X11" s="22">
        <f>IFERROR($V11*$W11,"")</f>
        <v/>
      </c>
      <c r="Y11" s="20">
        <f>IFERROR($F11/$V11,"")</f>
        <v/>
      </c>
      <c r="Z11" s="20">
        <f>IFERROR($H11/$W11,"")</f>
        <v/>
      </c>
      <c r="AA11" s="20">
        <f>IFERROR($I11/$X11,"")</f>
        <v/>
      </c>
    </row>
    <row r="12">
      <c r="A12" s="18" t="n">
        <v>46031</v>
      </c>
      <c r="B12" s="9">
        <f>IF($A12="","",CHOOSE(WEEKDAY(A12,2),"周一","周二","周三","周四","周五","周六","周日"))</f>
        <v/>
      </c>
      <c r="C12" s="5" t="inlineStr">
        <is>
          <t>D3</t>
        </is>
      </c>
      <c r="D12" s="19" t="n">
        <v>320</v>
      </c>
      <c r="E12" s="19" t="n">
        <v>221</v>
      </c>
      <c r="F12" s="20">
        <f>IFERROR($E12/$D12,"")</f>
        <v/>
      </c>
      <c r="G12" s="21" t="n">
        <v>127517</v>
      </c>
      <c r="H12" s="22">
        <f>IFERROR($G12/$E12,"")</f>
        <v/>
      </c>
      <c r="I12" s="22">
        <f>IFERROR($G12/$D12,"")</f>
        <v/>
      </c>
      <c r="J12" s="23" t="n">
        <v>0.7514999999999999</v>
      </c>
      <c r="K12" s="21" t="n">
        <v>664</v>
      </c>
      <c r="L12" s="22">
        <f>IFERROR($J12*$K12,"")</f>
        <v/>
      </c>
      <c r="M12" s="24">
        <f>IFERROR($F12/$J12*100,"")</f>
        <v/>
      </c>
      <c r="N12" s="24">
        <f>IFERROR($H12/$K12*100,"")</f>
        <v/>
      </c>
      <c r="O12" s="24">
        <f>IFERROR($I12/$L12*100,"")</f>
        <v/>
      </c>
      <c r="P12" s="25" t="n">
        <v>0.101</v>
      </c>
      <c r="Q12" s="22">
        <f>IFERROR($I12*(1-$P12),"")</f>
        <v/>
      </c>
      <c r="R12" s="19" t="n">
        <v>-6</v>
      </c>
      <c r="S12" s="20">
        <f>IFERROR(SUMIFS($E$4,$A$4:$A$34,"&gt;="&amp;EOMONTH($A12,-1)+1,$A$4:$A$34,"&lt;="&amp;EOMONTH($A12,0))/SUMIFS($D$4,$A$4:$A$34,"&gt;="&amp;EOMONTH($A12,-1)+1,$A$4:$A$34,"&lt;="&amp;EOMONTH($A12,0)),"")</f>
        <v/>
      </c>
      <c r="T12" s="22">
        <f>IFERROR(SUMIFS($G$4,$A$4:$A$34,"&gt;="&amp;EOMONTH($A12,-1)+1,$A$4:$A$34,"&lt;="&amp;EOMONTH($A12,0))/SUMIFS($E$4,$A$4:$A$34,"&gt;="&amp;EOMONTH($A12,-1)+1,$A$4:$A$34,"&lt;="&amp;EOMONTH($A12,0)),"")</f>
        <v/>
      </c>
      <c r="U12" s="22">
        <f>IFERROR(SUMIFS($G$4,$A$4:$A$34,"&gt;="&amp;EOMONTH($A12,-1)+1,$A$4:$A$34,"&lt;="&amp;EOMONTH($A12,0))/SUMIFS($D$4,$A$4:$A$34,"&gt;="&amp;EOMONTH($A12,-1)+1,$A$4:$A$34,"&lt;="&amp;EOMONTH($A12,0)),"")</f>
        <v/>
      </c>
      <c r="V12" s="20">
        <f>IF($A12="","",IFERROR(INDEX(数据字典!$B$5:$B$16,MONTH($A12)),""))</f>
        <v/>
      </c>
      <c r="W12" s="26">
        <f>IF($A12="","",IFERROR(INDEX(数据字典!$C$5:$C$16,MONTH($A12)),""))</f>
        <v/>
      </c>
      <c r="X12" s="22">
        <f>IFERROR($V12*$W12,"")</f>
        <v/>
      </c>
      <c r="Y12" s="20">
        <f>IFERROR($F12/$V12,"")</f>
        <v/>
      </c>
      <c r="Z12" s="20">
        <f>IFERROR($H12/$W12,"")</f>
        <v/>
      </c>
      <c r="AA12" s="20">
        <f>IFERROR($I12/$X12,"")</f>
        <v/>
      </c>
    </row>
    <row r="13">
      <c r="A13" s="18" t="n">
        <v>46032</v>
      </c>
      <c r="B13" s="9">
        <f>IF($A13="","",CHOOSE(WEEKDAY(A13,2),"周一","周二","周三","周四","周五","周六","周日"))</f>
        <v/>
      </c>
      <c r="C13" s="5" t="inlineStr">
        <is>
          <t>D3</t>
        </is>
      </c>
      <c r="D13" s="19" t="n">
        <v>320</v>
      </c>
      <c r="E13" s="19" t="n">
        <v>241</v>
      </c>
      <c r="F13" s="20">
        <f>IFERROR($E13/$D13,"")</f>
        <v/>
      </c>
      <c r="G13" s="21" t="n">
        <v>145323</v>
      </c>
      <c r="H13" s="22">
        <f>IFERROR($G13/$E13,"")</f>
        <v/>
      </c>
      <c r="I13" s="22">
        <f>IFERROR($G13/$D13,"")</f>
        <v/>
      </c>
      <c r="J13" s="23" t="n">
        <v>0.7105</v>
      </c>
      <c r="K13" s="21" t="n">
        <v>656</v>
      </c>
      <c r="L13" s="22">
        <f>IFERROR($J13*$K13,"")</f>
        <v/>
      </c>
      <c r="M13" s="24">
        <f>IFERROR($F13/$J13*100,"")</f>
        <v/>
      </c>
      <c r="N13" s="24">
        <f>IFERROR($H13/$K13*100,"")</f>
        <v/>
      </c>
      <c r="O13" s="24">
        <f>IFERROR($I13/$L13*100,"")</f>
        <v/>
      </c>
      <c r="P13" s="25" t="n">
        <v>0.101</v>
      </c>
      <c r="Q13" s="22">
        <f>IFERROR($I13*(1-$P13),"")</f>
        <v/>
      </c>
      <c r="R13" s="19" t="n">
        <v>6</v>
      </c>
      <c r="S13" s="20">
        <f>IFERROR(SUMIFS($E$4,$A$4:$A$34,"&gt;="&amp;EOMONTH($A13,-1)+1,$A$4:$A$34,"&lt;="&amp;EOMONTH($A13,0))/SUMIFS($D$4,$A$4:$A$34,"&gt;="&amp;EOMONTH($A13,-1)+1,$A$4:$A$34,"&lt;="&amp;EOMONTH($A13,0)),"")</f>
        <v/>
      </c>
      <c r="T13" s="22">
        <f>IFERROR(SUMIFS($G$4,$A$4:$A$34,"&gt;="&amp;EOMONTH($A13,-1)+1,$A$4:$A$34,"&lt;="&amp;EOMONTH($A13,0))/SUMIFS($E$4,$A$4:$A$34,"&gt;="&amp;EOMONTH($A13,-1)+1,$A$4:$A$34,"&lt;="&amp;EOMONTH($A13,0)),"")</f>
        <v/>
      </c>
      <c r="U13" s="22">
        <f>IFERROR(SUMIFS($G$4,$A$4:$A$34,"&gt;="&amp;EOMONTH($A13,-1)+1,$A$4:$A$34,"&lt;="&amp;EOMONTH($A13,0))/SUMIFS($D$4,$A$4:$A$34,"&gt;="&amp;EOMONTH($A13,-1)+1,$A$4:$A$34,"&lt;="&amp;EOMONTH($A13,0)),"")</f>
        <v/>
      </c>
      <c r="V13" s="20">
        <f>IF($A13="","",IFERROR(INDEX(数据字典!$B$5:$B$16,MONTH($A13)),""))</f>
        <v/>
      </c>
      <c r="W13" s="26">
        <f>IF($A13="","",IFERROR(INDEX(数据字典!$C$5:$C$16,MONTH($A13)),""))</f>
        <v/>
      </c>
      <c r="X13" s="22">
        <f>IFERROR($V13*$W13,"")</f>
        <v/>
      </c>
      <c r="Y13" s="20">
        <f>IFERROR($F13/$V13,"")</f>
        <v/>
      </c>
      <c r="Z13" s="20">
        <f>IFERROR($H13/$W13,"")</f>
        <v/>
      </c>
      <c r="AA13" s="20">
        <f>IFERROR($I13/$X13,"")</f>
        <v/>
      </c>
    </row>
    <row r="14">
      <c r="A14" s="18" t="n">
        <v>46033</v>
      </c>
      <c r="B14" s="9">
        <f>IF($A14="","",CHOOSE(WEEKDAY(A14,2),"周一","周二","周三","周四","周五","周六","周日"))</f>
        <v/>
      </c>
      <c r="C14" s="5" t="inlineStr">
        <is>
          <t>D3</t>
        </is>
      </c>
      <c r="D14" s="19" t="n">
        <v>320</v>
      </c>
      <c r="E14" s="19" t="n">
        <v>194</v>
      </c>
      <c r="F14" s="20">
        <f>IFERROR($E14/$D14,"")</f>
        <v/>
      </c>
      <c r="G14" s="21" t="n">
        <v>109028</v>
      </c>
      <c r="H14" s="22">
        <f>IFERROR($G14/$E14,"")</f>
        <v/>
      </c>
      <c r="I14" s="22">
        <f>IFERROR($G14/$D14,"")</f>
        <v/>
      </c>
      <c r="J14" s="23" t="n">
        <v>0.7588</v>
      </c>
      <c r="K14" s="21" t="n">
        <v>704</v>
      </c>
      <c r="L14" s="22">
        <f>IFERROR($J14*$K14,"")</f>
        <v/>
      </c>
      <c r="M14" s="24">
        <f>IFERROR($F14/$J14*100,"")</f>
        <v/>
      </c>
      <c r="N14" s="24">
        <f>IFERROR($H14/$K14*100,"")</f>
        <v/>
      </c>
      <c r="O14" s="24">
        <f>IFERROR($I14/$L14*100,"")</f>
        <v/>
      </c>
      <c r="P14" s="25" t="n">
        <v>0.101</v>
      </c>
      <c r="Q14" s="22">
        <f>IFERROR($I14*(1-$P14),"")</f>
        <v/>
      </c>
      <c r="R14" s="19" t="n">
        <v>14</v>
      </c>
      <c r="S14" s="20">
        <f>IFERROR(SUMIFS($E$4,$A$4:$A$34,"&gt;="&amp;EOMONTH($A14,-1)+1,$A$4:$A$34,"&lt;="&amp;EOMONTH($A14,0))/SUMIFS($D$4,$A$4:$A$34,"&gt;="&amp;EOMONTH($A14,-1)+1,$A$4:$A$34,"&lt;="&amp;EOMONTH($A14,0)),"")</f>
        <v/>
      </c>
      <c r="T14" s="22">
        <f>IFERROR(SUMIFS($G$4,$A$4:$A$34,"&gt;="&amp;EOMONTH($A14,-1)+1,$A$4:$A$34,"&lt;="&amp;EOMONTH($A14,0))/SUMIFS($E$4,$A$4:$A$34,"&gt;="&amp;EOMONTH($A14,-1)+1,$A$4:$A$34,"&lt;="&amp;EOMONTH($A14,0)),"")</f>
        <v/>
      </c>
      <c r="U14" s="22">
        <f>IFERROR(SUMIFS($G$4,$A$4:$A$34,"&gt;="&amp;EOMONTH($A14,-1)+1,$A$4:$A$34,"&lt;="&amp;EOMONTH($A14,0))/SUMIFS($D$4,$A$4:$A$34,"&gt;="&amp;EOMONTH($A14,-1)+1,$A$4:$A$34,"&lt;="&amp;EOMONTH($A14,0)),"")</f>
        <v/>
      </c>
      <c r="V14" s="20">
        <f>IF($A14="","",IFERROR(INDEX(数据字典!$B$5:$B$16,MONTH($A14)),""))</f>
        <v/>
      </c>
      <c r="W14" s="26">
        <f>IF($A14="","",IFERROR(INDEX(数据字典!$C$5:$C$16,MONTH($A14)),""))</f>
        <v/>
      </c>
      <c r="X14" s="22">
        <f>IFERROR($V14*$W14,"")</f>
        <v/>
      </c>
      <c r="Y14" s="20">
        <f>IFERROR($F14/$V14,"")</f>
        <v/>
      </c>
      <c r="Z14" s="20">
        <f>IFERROR($H14/$W14,"")</f>
        <v/>
      </c>
      <c r="AA14" s="20">
        <f>IFERROR($I14/$X14,"")</f>
        <v/>
      </c>
    </row>
    <row r="15">
      <c r="A15" s="18" t="n">
        <v>46034</v>
      </c>
      <c r="B15" s="9">
        <f>IF($A15="","",CHOOSE(WEEKDAY(A15,2),"周一","周二","周三","周四","周五","周六","周日"))</f>
        <v/>
      </c>
      <c r="C15" s="5" t="inlineStr">
        <is>
          <t>D4</t>
        </is>
      </c>
      <c r="D15" s="19" t="n">
        <v>320</v>
      </c>
      <c r="E15" s="19" t="n">
        <v>172</v>
      </c>
      <c r="F15" s="20">
        <f>IFERROR($E15/$D15,"")</f>
        <v/>
      </c>
      <c r="G15" s="21" t="n">
        <v>89956</v>
      </c>
      <c r="H15" s="22">
        <f>IFERROR($G15/$E15,"")</f>
        <v/>
      </c>
      <c r="I15" s="22">
        <f>IFERROR($G15/$D15,"")</f>
        <v/>
      </c>
      <c r="J15" s="23" t="n">
        <v>0.7299</v>
      </c>
      <c r="K15" s="21" t="n">
        <v>675</v>
      </c>
      <c r="L15" s="22">
        <f>IFERROR($J15*$K15,"")</f>
        <v/>
      </c>
      <c r="M15" s="24">
        <f>IFERROR($F15/$J15*100,"")</f>
        <v/>
      </c>
      <c r="N15" s="24">
        <f>IFERROR($H15/$K15*100,"")</f>
        <v/>
      </c>
      <c r="O15" s="24">
        <f>IFERROR($I15/$L15*100,"")</f>
        <v/>
      </c>
      <c r="P15" s="25" t="n">
        <v>0.101</v>
      </c>
      <c r="Q15" s="22">
        <f>IFERROR($I15*(1-$P15),"")</f>
        <v/>
      </c>
      <c r="R15" s="19" t="n">
        <v>-4</v>
      </c>
      <c r="S15" s="20">
        <f>IFERROR(SUMIFS($E$4,$A$4:$A$34,"&gt;="&amp;EOMONTH($A15,-1)+1,$A$4:$A$34,"&lt;="&amp;EOMONTH($A15,0))/SUMIFS($D$4,$A$4:$A$34,"&gt;="&amp;EOMONTH($A15,-1)+1,$A$4:$A$34,"&lt;="&amp;EOMONTH($A15,0)),"")</f>
        <v/>
      </c>
      <c r="T15" s="22">
        <f>IFERROR(SUMIFS($G$4,$A$4:$A$34,"&gt;="&amp;EOMONTH($A15,-1)+1,$A$4:$A$34,"&lt;="&amp;EOMONTH($A15,0))/SUMIFS($E$4,$A$4:$A$34,"&gt;="&amp;EOMONTH($A15,-1)+1,$A$4:$A$34,"&lt;="&amp;EOMONTH($A15,0)),"")</f>
        <v/>
      </c>
      <c r="U15" s="22">
        <f>IFERROR(SUMIFS($G$4,$A$4:$A$34,"&gt;="&amp;EOMONTH($A15,-1)+1,$A$4:$A$34,"&lt;="&amp;EOMONTH($A15,0))/SUMIFS($D$4,$A$4:$A$34,"&gt;="&amp;EOMONTH($A15,-1)+1,$A$4:$A$34,"&lt;="&amp;EOMONTH($A15,0)),"")</f>
        <v/>
      </c>
      <c r="V15" s="20">
        <f>IF($A15="","",IFERROR(INDEX(数据字典!$B$5:$B$16,MONTH($A15)),""))</f>
        <v/>
      </c>
      <c r="W15" s="26">
        <f>IF($A15="","",IFERROR(INDEX(数据字典!$C$5:$C$16,MONTH($A15)),""))</f>
        <v/>
      </c>
      <c r="X15" s="22">
        <f>IFERROR($V15*$W15,"")</f>
        <v/>
      </c>
      <c r="Y15" s="20">
        <f>IFERROR($F15/$V15,"")</f>
        <v/>
      </c>
      <c r="Z15" s="20">
        <f>IFERROR($H15/$W15,"")</f>
        <v/>
      </c>
      <c r="AA15" s="20">
        <f>IFERROR($I15/$X15,"")</f>
        <v/>
      </c>
    </row>
    <row r="16">
      <c r="A16" s="18" t="n">
        <v>46035</v>
      </c>
      <c r="B16" s="9">
        <f>IF($A16="","",CHOOSE(WEEKDAY(A16,2),"周一","周二","周三","周四","周五","周六","周日"))</f>
        <v/>
      </c>
      <c r="C16" s="5" t="inlineStr">
        <is>
          <t>D4</t>
        </is>
      </c>
      <c r="D16" s="19" t="n">
        <v>320</v>
      </c>
      <c r="E16" s="19" t="n">
        <v>168</v>
      </c>
      <c r="F16" s="20">
        <f>IFERROR($E16/$D16,"")</f>
        <v/>
      </c>
      <c r="G16" s="21" t="n">
        <v>88704</v>
      </c>
      <c r="H16" s="22">
        <f>IFERROR($G16/$E16,"")</f>
        <v/>
      </c>
      <c r="I16" s="22">
        <f>IFERROR($G16/$D16,"")</f>
        <v/>
      </c>
      <c r="J16" s="23" t="n">
        <v>0.7149</v>
      </c>
      <c r="K16" s="21" t="n">
        <v>703</v>
      </c>
      <c r="L16" s="22">
        <f>IFERROR($J16*$K16,"")</f>
        <v/>
      </c>
      <c r="M16" s="24">
        <f>IFERROR($F16/$J16*100,"")</f>
        <v/>
      </c>
      <c r="N16" s="24">
        <f>IFERROR($H16/$K16*100,"")</f>
        <v/>
      </c>
      <c r="O16" s="24">
        <f>IFERROR($I16/$L16*100,"")</f>
        <v/>
      </c>
      <c r="P16" s="25" t="n">
        <v>0.101</v>
      </c>
      <c r="Q16" s="22">
        <f>IFERROR($I16*(1-$P16),"")</f>
        <v/>
      </c>
      <c r="R16" s="19" t="n">
        <v>18</v>
      </c>
      <c r="S16" s="20">
        <f>IFERROR(SUMIFS($E$4,$A$4:$A$34,"&gt;="&amp;EOMONTH($A16,-1)+1,$A$4:$A$34,"&lt;="&amp;EOMONTH($A16,0))/SUMIFS($D$4,$A$4:$A$34,"&gt;="&amp;EOMONTH($A16,-1)+1,$A$4:$A$34,"&lt;="&amp;EOMONTH($A16,0)),"")</f>
        <v/>
      </c>
      <c r="T16" s="22">
        <f>IFERROR(SUMIFS($G$4,$A$4:$A$34,"&gt;="&amp;EOMONTH($A16,-1)+1,$A$4:$A$34,"&lt;="&amp;EOMONTH($A16,0))/SUMIFS($E$4,$A$4:$A$34,"&gt;="&amp;EOMONTH($A16,-1)+1,$A$4:$A$34,"&lt;="&amp;EOMONTH($A16,0)),"")</f>
        <v/>
      </c>
      <c r="U16" s="22">
        <f>IFERROR(SUMIFS($G$4,$A$4:$A$34,"&gt;="&amp;EOMONTH($A16,-1)+1,$A$4:$A$34,"&lt;="&amp;EOMONTH($A16,0))/SUMIFS($D$4,$A$4:$A$34,"&gt;="&amp;EOMONTH($A16,-1)+1,$A$4:$A$34,"&lt;="&amp;EOMONTH($A16,0)),"")</f>
        <v/>
      </c>
      <c r="V16" s="20">
        <f>IF($A16="","",IFERROR(INDEX(数据字典!$B$5:$B$16,MONTH($A16)),""))</f>
        <v/>
      </c>
      <c r="W16" s="26">
        <f>IF($A16="","",IFERROR(INDEX(数据字典!$C$5:$C$16,MONTH($A16)),""))</f>
        <v/>
      </c>
      <c r="X16" s="22">
        <f>IFERROR($V16*$W16,"")</f>
        <v/>
      </c>
      <c r="Y16" s="20">
        <f>IFERROR($F16/$V16,"")</f>
        <v/>
      </c>
      <c r="Z16" s="20">
        <f>IFERROR($H16/$W16,"")</f>
        <v/>
      </c>
      <c r="AA16" s="20">
        <f>IFERROR($I16/$X16,"")</f>
        <v/>
      </c>
    </row>
    <row r="17">
      <c r="A17" s="18" t="n">
        <v>46036</v>
      </c>
      <c r="B17" s="9">
        <f>IF($A17="","",CHOOSE(WEEKDAY(A17,2),"周一","周二","周三","周四","周五","周六","周日"))</f>
        <v/>
      </c>
      <c r="C17" s="5" t="inlineStr">
        <is>
          <t>D4</t>
        </is>
      </c>
      <c r="D17" s="19" t="n">
        <v>320</v>
      </c>
      <c r="E17" s="19" t="n">
        <v>184</v>
      </c>
      <c r="F17" s="20">
        <f>IFERROR($E17/$D17,"")</f>
        <v/>
      </c>
      <c r="G17" s="21" t="n">
        <v>95128</v>
      </c>
      <c r="H17" s="22">
        <f>IFERROR($G17/$E17,"")</f>
        <v/>
      </c>
      <c r="I17" s="22">
        <f>IFERROR($G17/$D17,"")</f>
        <v/>
      </c>
      <c r="J17" s="23" t="n">
        <v>0.7221</v>
      </c>
      <c r="K17" s="21" t="n">
        <v>691</v>
      </c>
      <c r="L17" s="22">
        <f>IFERROR($J17*$K17,"")</f>
        <v/>
      </c>
      <c r="M17" s="24">
        <f>IFERROR($F17/$J17*100,"")</f>
        <v/>
      </c>
      <c r="N17" s="24">
        <f>IFERROR($H17/$K17*100,"")</f>
        <v/>
      </c>
      <c r="O17" s="24">
        <f>IFERROR($I17/$L17*100,"")</f>
        <v/>
      </c>
      <c r="P17" s="25" t="n">
        <v>0.101</v>
      </c>
      <c r="Q17" s="22">
        <f>IFERROR($I17*(1-$P17),"")</f>
        <v/>
      </c>
      <c r="R17" s="19" t="n">
        <v>16</v>
      </c>
      <c r="S17" s="20">
        <f>IFERROR(SUMIFS($E$4,$A$4:$A$34,"&gt;="&amp;EOMONTH($A17,-1)+1,$A$4:$A$34,"&lt;="&amp;EOMONTH($A17,0))/SUMIFS($D$4,$A$4:$A$34,"&gt;="&amp;EOMONTH($A17,-1)+1,$A$4:$A$34,"&lt;="&amp;EOMONTH($A17,0)),"")</f>
        <v/>
      </c>
      <c r="T17" s="22">
        <f>IFERROR(SUMIFS($G$4,$A$4:$A$34,"&gt;="&amp;EOMONTH($A17,-1)+1,$A$4:$A$34,"&lt;="&amp;EOMONTH($A17,0))/SUMIFS($E$4,$A$4:$A$34,"&gt;="&amp;EOMONTH($A17,-1)+1,$A$4:$A$34,"&lt;="&amp;EOMONTH($A17,0)),"")</f>
        <v/>
      </c>
      <c r="U17" s="22">
        <f>IFERROR(SUMIFS($G$4,$A$4:$A$34,"&gt;="&amp;EOMONTH($A17,-1)+1,$A$4:$A$34,"&lt;="&amp;EOMONTH($A17,0))/SUMIFS($D$4,$A$4:$A$34,"&gt;="&amp;EOMONTH($A17,-1)+1,$A$4:$A$34,"&lt;="&amp;EOMONTH($A17,0)),"")</f>
        <v/>
      </c>
      <c r="V17" s="20">
        <f>IF($A17="","",IFERROR(INDEX(数据字典!$B$5:$B$16,MONTH($A17)),""))</f>
        <v/>
      </c>
      <c r="W17" s="26">
        <f>IF($A17="","",IFERROR(INDEX(数据字典!$C$5:$C$16,MONTH($A17)),""))</f>
        <v/>
      </c>
      <c r="X17" s="22">
        <f>IFERROR($V17*$W17,"")</f>
        <v/>
      </c>
      <c r="Y17" s="20">
        <f>IFERROR($F17/$V17,"")</f>
        <v/>
      </c>
      <c r="Z17" s="20">
        <f>IFERROR($H17/$W17,"")</f>
        <v/>
      </c>
      <c r="AA17" s="20">
        <f>IFERROR($I17/$X17,"")</f>
        <v/>
      </c>
    </row>
    <row r="18">
      <c r="A18" s="18" t="n">
        <v>46037</v>
      </c>
      <c r="B18" s="9">
        <f>IF($A18="","",CHOOSE(WEEKDAY(A18,2),"周一","周二","周三","周四","周五","周六","周日"))</f>
        <v/>
      </c>
      <c r="C18" s="5" t="inlineStr">
        <is>
          <t>D4</t>
        </is>
      </c>
      <c r="D18" s="19" t="n">
        <v>320</v>
      </c>
      <c r="E18" s="19" t="n">
        <v>181</v>
      </c>
      <c r="F18" s="20">
        <f>IFERROR($E18/$D18,"")</f>
        <v/>
      </c>
      <c r="G18" s="21" t="n">
        <v>96835</v>
      </c>
      <c r="H18" s="22">
        <f>IFERROR($G18/$E18,"")</f>
        <v/>
      </c>
      <c r="I18" s="22">
        <f>IFERROR($G18/$D18,"")</f>
        <v/>
      </c>
      <c r="J18" s="23" t="n">
        <v>0.7143</v>
      </c>
      <c r="K18" s="21" t="n">
        <v>685</v>
      </c>
      <c r="L18" s="22">
        <f>IFERROR($J18*$K18,"")</f>
        <v/>
      </c>
      <c r="M18" s="24">
        <f>IFERROR($F18/$J18*100,"")</f>
        <v/>
      </c>
      <c r="N18" s="24">
        <f>IFERROR($H18/$K18*100,"")</f>
        <v/>
      </c>
      <c r="O18" s="24">
        <f>IFERROR($I18/$L18*100,"")</f>
        <v/>
      </c>
      <c r="P18" s="25" t="n">
        <v>0.101</v>
      </c>
      <c r="Q18" s="22">
        <f>IFERROR($I18*(1-$P18),"")</f>
        <v/>
      </c>
      <c r="R18" s="19" t="n">
        <v>19</v>
      </c>
      <c r="S18" s="20">
        <f>IFERROR(SUMIFS($E$4,$A$4:$A$34,"&gt;="&amp;EOMONTH($A18,-1)+1,$A$4:$A$34,"&lt;="&amp;EOMONTH($A18,0))/SUMIFS($D$4,$A$4:$A$34,"&gt;="&amp;EOMONTH($A18,-1)+1,$A$4:$A$34,"&lt;="&amp;EOMONTH($A18,0)),"")</f>
        <v/>
      </c>
      <c r="T18" s="22">
        <f>IFERROR(SUMIFS($G$4,$A$4:$A$34,"&gt;="&amp;EOMONTH($A18,-1)+1,$A$4:$A$34,"&lt;="&amp;EOMONTH($A18,0))/SUMIFS($E$4,$A$4:$A$34,"&gt;="&amp;EOMONTH($A18,-1)+1,$A$4:$A$34,"&lt;="&amp;EOMONTH($A18,0)),"")</f>
        <v/>
      </c>
      <c r="U18" s="22">
        <f>IFERROR(SUMIFS($G$4,$A$4:$A$34,"&gt;="&amp;EOMONTH($A18,-1)+1,$A$4:$A$34,"&lt;="&amp;EOMONTH($A18,0))/SUMIFS($D$4,$A$4:$A$34,"&gt;="&amp;EOMONTH($A18,-1)+1,$A$4:$A$34,"&lt;="&amp;EOMONTH($A18,0)),"")</f>
        <v/>
      </c>
      <c r="V18" s="20">
        <f>IF($A18="","",IFERROR(INDEX(数据字典!$B$5:$B$16,MONTH($A18)),""))</f>
        <v/>
      </c>
      <c r="W18" s="26">
        <f>IF($A18="","",IFERROR(INDEX(数据字典!$C$5:$C$16,MONTH($A18)),""))</f>
        <v/>
      </c>
      <c r="X18" s="22">
        <f>IFERROR($V18*$W18,"")</f>
        <v/>
      </c>
      <c r="Y18" s="20">
        <f>IFERROR($F18/$V18,"")</f>
        <v/>
      </c>
      <c r="Z18" s="20">
        <f>IFERROR($H18/$W18,"")</f>
        <v/>
      </c>
      <c r="AA18" s="20">
        <f>IFERROR($I18/$X18,"")</f>
        <v/>
      </c>
    </row>
    <row r="19">
      <c r="A19" s="18" t="n">
        <v>46038</v>
      </c>
      <c r="B19" s="9">
        <f>IF($A19="","",CHOOSE(WEEKDAY(A19,2),"周一","周二","周三","周四","周五","周六","周日"))</f>
        <v/>
      </c>
      <c r="C19" s="5" t="inlineStr">
        <is>
          <t>D3</t>
        </is>
      </c>
      <c r="D19" s="19" t="n">
        <v>320</v>
      </c>
      <c r="E19" s="19" t="n">
        <v>212</v>
      </c>
      <c r="F19" s="20">
        <f>IFERROR($E19/$D19,"")</f>
        <v/>
      </c>
      <c r="G19" s="21" t="n">
        <v>122960</v>
      </c>
      <c r="H19" s="22">
        <f>IFERROR($G19/$E19,"")</f>
        <v/>
      </c>
      <c r="I19" s="22">
        <f>IFERROR($G19/$D19,"")</f>
        <v/>
      </c>
      <c r="J19" s="23" t="n">
        <v>0.7599</v>
      </c>
      <c r="K19" s="21" t="n">
        <v>651</v>
      </c>
      <c r="L19" s="22">
        <f>IFERROR($J19*$K19,"")</f>
        <v/>
      </c>
      <c r="M19" s="24">
        <f>IFERROR($F19/$J19*100,"")</f>
        <v/>
      </c>
      <c r="N19" s="24">
        <f>IFERROR($H19/$K19*100,"")</f>
        <v/>
      </c>
      <c r="O19" s="24">
        <f>IFERROR($I19/$L19*100,"")</f>
        <v/>
      </c>
      <c r="P19" s="25" t="n">
        <v>0.101</v>
      </c>
      <c r="Q19" s="22">
        <f>IFERROR($I19*(1-$P19),"")</f>
        <v/>
      </c>
      <c r="R19" s="19" t="n">
        <v>-5</v>
      </c>
      <c r="S19" s="20">
        <f>IFERROR(SUMIFS($E$4,$A$4:$A$34,"&gt;="&amp;EOMONTH($A19,-1)+1,$A$4:$A$34,"&lt;="&amp;EOMONTH($A19,0))/SUMIFS($D$4,$A$4:$A$34,"&gt;="&amp;EOMONTH($A19,-1)+1,$A$4:$A$34,"&lt;="&amp;EOMONTH($A19,0)),"")</f>
        <v/>
      </c>
      <c r="T19" s="22">
        <f>IFERROR(SUMIFS($G$4,$A$4:$A$34,"&gt;="&amp;EOMONTH($A19,-1)+1,$A$4:$A$34,"&lt;="&amp;EOMONTH($A19,0))/SUMIFS($E$4,$A$4:$A$34,"&gt;="&amp;EOMONTH($A19,-1)+1,$A$4:$A$34,"&lt;="&amp;EOMONTH($A19,0)),"")</f>
        <v/>
      </c>
      <c r="U19" s="22">
        <f>IFERROR(SUMIFS($G$4,$A$4:$A$34,"&gt;="&amp;EOMONTH($A19,-1)+1,$A$4:$A$34,"&lt;="&amp;EOMONTH($A19,0))/SUMIFS($D$4,$A$4:$A$34,"&gt;="&amp;EOMONTH($A19,-1)+1,$A$4:$A$34,"&lt;="&amp;EOMONTH($A19,0)),"")</f>
        <v/>
      </c>
      <c r="V19" s="20">
        <f>IF($A19="","",IFERROR(INDEX(数据字典!$B$5:$B$16,MONTH($A19)),""))</f>
        <v/>
      </c>
      <c r="W19" s="26">
        <f>IF($A19="","",IFERROR(INDEX(数据字典!$C$5:$C$16,MONTH($A19)),""))</f>
        <v/>
      </c>
      <c r="X19" s="22">
        <f>IFERROR($V19*$W19,"")</f>
        <v/>
      </c>
      <c r="Y19" s="20">
        <f>IFERROR($F19/$V19,"")</f>
        <v/>
      </c>
      <c r="Z19" s="20">
        <f>IFERROR($H19/$W19,"")</f>
        <v/>
      </c>
      <c r="AA19" s="20">
        <f>IFERROR($I19/$X19,"")</f>
        <v/>
      </c>
    </row>
    <row r="20">
      <c r="A20" s="18" t="n">
        <v>46039</v>
      </c>
      <c r="B20" s="9">
        <f>IF($A20="","",CHOOSE(WEEKDAY(A20,2),"周一","周二","周三","周四","周五","周六","周日"))</f>
        <v/>
      </c>
      <c r="C20" s="5" t="inlineStr">
        <is>
          <t>D3</t>
        </is>
      </c>
      <c r="D20" s="19" t="n">
        <v>320</v>
      </c>
      <c r="E20" s="19" t="n">
        <v>240</v>
      </c>
      <c r="F20" s="20">
        <f>IFERROR($E20/$D20,"")</f>
        <v/>
      </c>
      <c r="G20" s="21" t="n">
        <v>146640</v>
      </c>
      <c r="H20" s="22">
        <f>IFERROR($G20/$E20,"")</f>
        <v/>
      </c>
      <c r="I20" s="22">
        <f>IFERROR($G20/$D20,"")</f>
        <v/>
      </c>
      <c r="J20" s="23" t="n">
        <v>0.7494</v>
      </c>
      <c r="K20" s="21" t="n">
        <v>691</v>
      </c>
      <c r="L20" s="22">
        <f>IFERROR($J20*$K20,"")</f>
        <v/>
      </c>
      <c r="M20" s="24">
        <f>IFERROR($F20/$J20*100,"")</f>
        <v/>
      </c>
      <c r="N20" s="24">
        <f>IFERROR($H20/$K20*100,"")</f>
        <v/>
      </c>
      <c r="O20" s="24">
        <f>IFERROR($I20/$L20*100,"")</f>
        <v/>
      </c>
      <c r="P20" s="25" t="n">
        <v>0.101</v>
      </c>
      <c r="Q20" s="22">
        <f>IFERROR($I20*(1-$P20),"")</f>
        <v/>
      </c>
      <c r="R20" s="19" t="n">
        <v>11</v>
      </c>
      <c r="S20" s="20">
        <f>IFERROR(SUMIFS($E$4,$A$4:$A$34,"&gt;="&amp;EOMONTH($A20,-1)+1,$A$4:$A$34,"&lt;="&amp;EOMONTH($A20,0))/SUMIFS($D$4,$A$4:$A$34,"&gt;="&amp;EOMONTH($A20,-1)+1,$A$4:$A$34,"&lt;="&amp;EOMONTH($A20,0)),"")</f>
        <v/>
      </c>
      <c r="T20" s="22">
        <f>IFERROR(SUMIFS($G$4,$A$4:$A$34,"&gt;="&amp;EOMONTH($A20,-1)+1,$A$4:$A$34,"&lt;="&amp;EOMONTH($A20,0))/SUMIFS($E$4,$A$4:$A$34,"&gt;="&amp;EOMONTH($A20,-1)+1,$A$4:$A$34,"&lt;="&amp;EOMONTH($A20,0)),"")</f>
        <v/>
      </c>
      <c r="U20" s="22">
        <f>IFERROR(SUMIFS($G$4,$A$4:$A$34,"&gt;="&amp;EOMONTH($A20,-1)+1,$A$4:$A$34,"&lt;="&amp;EOMONTH($A20,0))/SUMIFS($D$4,$A$4:$A$34,"&gt;="&amp;EOMONTH($A20,-1)+1,$A$4:$A$34,"&lt;="&amp;EOMONTH($A20,0)),"")</f>
        <v/>
      </c>
      <c r="V20" s="20">
        <f>IF($A20="","",IFERROR(INDEX(数据字典!$B$5:$B$16,MONTH($A20)),""))</f>
        <v/>
      </c>
      <c r="W20" s="26">
        <f>IF($A20="","",IFERROR(INDEX(数据字典!$C$5:$C$16,MONTH($A20)),""))</f>
        <v/>
      </c>
      <c r="X20" s="22">
        <f>IFERROR($V20*$W20,"")</f>
        <v/>
      </c>
      <c r="Y20" s="20">
        <f>IFERROR($F20/$V20,"")</f>
        <v/>
      </c>
      <c r="Z20" s="20">
        <f>IFERROR($H20/$W20,"")</f>
        <v/>
      </c>
      <c r="AA20" s="20">
        <f>IFERROR($I20/$X20,"")</f>
        <v/>
      </c>
    </row>
    <row r="21">
      <c r="A21" s="18" t="n">
        <v>46040</v>
      </c>
      <c r="B21" s="9">
        <f>IF($A21="","",CHOOSE(WEEKDAY(A21,2),"周一","周二","周三","周四","周五","周六","周日"))</f>
        <v/>
      </c>
      <c r="C21" s="5" t="inlineStr">
        <is>
          <t>D3</t>
        </is>
      </c>
      <c r="D21" s="19" t="n">
        <v>320</v>
      </c>
      <c r="E21" s="19" t="n">
        <v>192</v>
      </c>
      <c r="F21" s="20">
        <f>IFERROR($E21/$D21,"")</f>
        <v/>
      </c>
      <c r="G21" s="21" t="n">
        <v>104832</v>
      </c>
      <c r="H21" s="22">
        <f>IFERROR($G21/$E21,"")</f>
        <v/>
      </c>
      <c r="I21" s="22">
        <f>IFERROR($G21/$D21,"")</f>
        <v/>
      </c>
      <c r="J21" s="23" t="n">
        <v>0.7439</v>
      </c>
      <c r="K21" s="21" t="n">
        <v>660</v>
      </c>
      <c r="L21" s="22">
        <f>IFERROR($J21*$K21,"")</f>
        <v/>
      </c>
      <c r="M21" s="24">
        <f>IFERROR($F21/$J21*100,"")</f>
        <v/>
      </c>
      <c r="N21" s="24">
        <f>IFERROR($H21/$K21*100,"")</f>
        <v/>
      </c>
      <c r="O21" s="24">
        <f>IFERROR($I21/$L21*100,"")</f>
        <v/>
      </c>
      <c r="P21" s="25" t="n">
        <v>0.101</v>
      </c>
      <c r="Q21" s="22">
        <f>IFERROR($I21*(1-$P21),"")</f>
        <v/>
      </c>
      <c r="R21" s="19" t="n">
        <v>6</v>
      </c>
      <c r="S21" s="20">
        <f>IFERROR(SUMIFS($E$4,$A$4:$A$34,"&gt;="&amp;EOMONTH($A21,-1)+1,$A$4:$A$34,"&lt;="&amp;EOMONTH($A21,0))/SUMIFS($D$4,$A$4:$A$34,"&gt;="&amp;EOMONTH($A21,-1)+1,$A$4:$A$34,"&lt;="&amp;EOMONTH($A21,0)),"")</f>
        <v/>
      </c>
      <c r="T21" s="22">
        <f>IFERROR(SUMIFS($G$4,$A$4:$A$34,"&gt;="&amp;EOMONTH($A21,-1)+1,$A$4:$A$34,"&lt;="&amp;EOMONTH($A21,0))/SUMIFS($E$4,$A$4:$A$34,"&gt;="&amp;EOMONTH($A21,-1)+1,$A$4:$A$34,"&lt;="&amp;EOMONTH($A21,0)),"")</f>
        <v/>
      </c>
      <c r="U21" s="22">
        <f>IFERROR(SUMIFS($G$4,$A$4:$A$34,"&gt;="&amp;EOMONTH($A21,-1)+1,$A$4:$A$34,"&lt;="&amp;EOMONTH($A21,0))/SUMIFS($D$4,$A$4:$A$34,"&gt;="&amp;EOMONTH($A21,-1)+1,$A$4:$A$34,"&lt;="&amp;EOMONTH($A21,0)),"")</f>
        <v/>
      </c>
      <c r="V21" s="20">
        <f>IF($A21="","",IFERROR(INDEX(数据字典!$B$5:$B$16,MONTH($A21)),""))</f>
        <v/>
      </c>
      <c r="W21" s="26">
        <f>IF($A21="","",IFERROR(INDEX(数据字典!$C$5:$C$16,MONTH($A21)),""))</f>
        <v/>
      </c>
      <c r="X21" s="22">
        <f>IFERROR($V21*$W21,"")</f>
        <v/>
      </c>
      <c r="Y21" s="20">
        <f>IFERROR($F21/$V21,"")</f>
        <v/>
      </c>
      <c r="Z21" s="20">
        <f>IFERROR($H21/$W21,"")</f>
        <v/>
      </c>
      <c r="AA21" s="20">
        <f>IFERROR($I21/$X21,"")</f>
        <v/>
      </c>
    </row>
    <row r="22">
      <c r="A22" s="18" t="n">
        <v>46041</v>
      </c>
      <c r="B22" s="9">
        <f>IF($A22="","",CHOOSE(WEEKDAY(A22,2),"周一","周二","周三","周四","周五","周六","周日"))</f>
        <v/>
      </c>
      <c r="C22" s="5" t="inlineStr">
        <is>
          <t>D4</t>
        </is>
      </c>
      <c r="D22" s="19" t="n">
        <v>320</v>
      </c>
      <c r="E22" s="19" t="n">
        <v>160</v>
      </c>
      <c r="F22" s="20">
        <f>IFERROR($E22/$D22,"")</f>
        <v/>
      </c>
      <c r="G22" s="21" t="n">
        <v>82880</v>
      </c>
      <c r="H22" s="22">
        <f>IFERROR($G22/$E22,"")</f>
        <v/>
      </c>
      <c r="I22" s="22">
        <f>IFERROR($G22/$D22,"")</f>
        <v/>
      </c>
      <c r="J22" s="23" t="n">
        <v>0.7418</v>
      </c>
      <c r="K22" s="21" t="n">
        <v>698</v>
      </c>
      <c r="L22" s="22">
        <f>IFERROR($J22*$K22,"")</f>
        <v/>
      </c>
      <c r="M22" s="24">
        <f>IFERROR($F22/$J22*100,"")</f>
        <v/>
      </c>
      <c r="N22" s="24">
        <f>IFERROR($H22/$K22*100,"")</f>
        <v/>
      </c>
      <c r="O22" s="24">
        <f>IFERROR($I22/$L22*100,"")</f>
        <v/>
      </c>
      <c r="P22" s="25" t="n">
        <v>0.101</v>
      </c>
      <c r="Q22" s="22">
        <f>IFERROR($I22*(1-$P22),"")</f>
        <v/>
      </c>
      <c r="R22" s="19" t="n">
        <v>18</v>
      </c>
      <c r="S22" s="20">
        <f>IFERROR(SUMIFS($E$4,$A$4:$A$34,"&gt;="&amp;EOMONTH($A22,-1)+1,$A$4:$A$34,"&lt;="&amp;EOMONTH($A22,0))/SUMIFS($D$4,$A$4:$A$34,"&gt;="&amp;EOMONTH($A22,-1)+1,$A$4:$A$34,"&lt;="&amp;EOMONTH($A22,0)),"")</f>
        <v/>
      </c>
      <c r="T22" s="22">
        <f>IFERROR(SUMIFS($G$4,$A$4:$A$34,"&gt;="&amp;EOMONTH($A22,-1)+1,$A$4:$A$34,"&lt;="&amp;EOMONTH($A22,0))/SUMIFS($E$4,$A$4:$A$34,"&gt;="&amp;EOMONTH($A22,-1)+1,$A$4:$A$34,"&lt;="&amp;EOMONTH($A22,0)),"")</f>
        <v/>
      </c>
      <c r="U22" s="22">
        <f>IFERROR(SUMIFS($G$4,$A$4:$A$34,"&gt;="&amp;EOMONTH($A22,-1)+1,$A$4:$A$34,"&lt;="&amp;EOMONTH($A22,0))/SUMIFS($D$4,$A$4:$A$34,"&gt;="&amp;EOMONTH($A22,-1)+1,$A$4:$A$34,"&lt;="&amp;EOMONTH($A22,0)),"")</f>
        <v/>
      </c>
      <c r="V22" s="20">
        <f>IF($A22="","",IFERROR(INDEX(数据字典!$B$5:$B$16,MONTH($A22)),""))</f>
        <v/>
      </c>
      <c r="W22" s="26">
        <f>IF($A22="","",IFERROR(INDEX(数据字典!$C$5:$C$16,MONTH($A22)),""))</f>
        <v/>
      </c>
      <c r="X22" s="22">
        <f>IFERROR($V22*$W22,"")</f>
        <v/>
      </c>
      <c r="Y22" s="20">
        <f>IFERROR($F22/$V22,"")</f>
        <v/>
      </c>
      <c r="Z22" s="20">
        <f>IFERROR($H22/$W22,"")</f>
        <v/>
      </c>
      <c r="AA22" s="20">
        <f>IFERROR($I22/$X22,"")</f>
        <v/>
      </c>
    </row>
    <row r="23">
      <c r="A23" s="18" t="n">
        <v>46042</v>
      </c>
      <c r="B23" s="9">
        <f>IF($A23="","",CHOOSE(WEEKDAY(A23,2),"周一","周二","周三","周四","周五","周六","周日"))</f>
        <v/>
      </c>
      <c r="C23" s="5" t="inlineStr">
        <is>
          <t>D4</t>
        </is>
      </c>
      <c r="D23" s="19" t="n">
        <v>320</v>
      </c>
      <c r="E23" s="19" t="n">
        <v>174</v>
      </c>
      <c r="F23" s="20">
        <f>IFERROR($E23/$D23,"")</f>
        <v/>
      </c>
      <c r="G23" s="21" t="n">
        <v>88914</v>
      </c>
      <c r="H23" s="22">
        <f>IFERROR($G23/$E23,"")</f>
        <v/>
      </c>
      <c r="I23" s="22">
        <f>IFERROR($G23/$D23,"")</f>
        <v/>
      </c>
      <c r="J23" s="23" t="n">
        <v>0.7108</v>
      </c>
      <c r="K23" s="21" t="n">
        <v>690</v>
      </c>
      <c r="L23" s="22">
        <f>IFERROR($J23*$K23,"")</f>
        <v/>
      </c>
      <c r="M23" s="24">
        <f>IFERROR($F23/$J23*100,"")</f>
        <v/>
      </c>
      <c r="N23" s="24">
        <f>IFERROR($H23/$K23*100,"")</f>
        <v/>
      </c>
      <c r="O23" s="24">
        <f>IFERROR($I23/$L23*100,"")</f>
        <v/>
      </c>
      <c r="P23" s="25" t="n">
        <v>0.101</v>
      </c>
      <c r="Q23" s="22">
        <f>IFERROR($I23*(1-$P23),"")</f>
        <v/>
      </c>
      <c r="R23" s="19" t="n">
        <v>5</v>
      </c>
      <c r="S23" s="20">
        <f>IFERROR(SUMIFS($E$4,$A$4:$A$34,"&gt;="&amp;EOMONTH($A23,-1)+1,$A$4:$A$34,"&lt;="&amp;EOMONTH($A23,0))/SUMIFS($D$4,$A$4:$A$34,"&gt;="&amp;EOMONTH($A23,-1)+1,$A$4:$A$34,"&lt;="&amp;EOMONTH($A23,0)),"")</f>
        <v/>
      </c>
      <c r="T23" s="22">
        <f>IFERROR(SUMIFS($G$4,$A$4:$A$34,"&gt;="&amp;EOMONTH($A23,-1)+1,$A$4:$A$34,"&lt;="&amp;EOMONTH($A23,0))/SUMIFS($E$4,$A$4:$A$34,"&gt;="&amp;EOMONTH($A23,-1)+1,$A$4:$A$34,"&lt;="&amp;EOMONTH($A23,0)),"")</f>
        <v/>
      </c>
      <c r="U23" s="22">
        <f>IFERROR(SUMIFS($G$4,$A$4:$A$34,"&gt;="&amp;EOMONTH($A23,-1)+1,$A$4:$A$34,"&lt;="&amp;EOMONTH($A23,0))/SUMIFS($D$4,$A$4:$A$34,"&gt;="&amp;EOMONTH($A23,-1)+1,$A$4:$A$34,"&lt;="&amp;EOMONTH($A23,0)),"")</f>
        <v/>
      </c>
      <c r="V23" s="20">
        <f>IF($A23="","",IFERROR(INDEX(数据字典!$B$5:$B$16,MONTH($A23)),""))</f>
        <v/>
      </c>
      <c r="W23" s="26">
        <f>IF($A23="","",IFERROR(INDEX(数据字典!$C$5:$C$16,MONTH($A23)),""))</f>
        <v/>
      </c>
      <c r="X23" s="22">
        <f>IFERROR($V23*$W23,"")</f>
        <v/>
      </c>
      <c r="Y23" s="20">
        <f>IFERROR($F23/$V23,"")</f>
        <v/>
      </c>
      <c r="Z23" s="20">
        <f>IFERROR($H23/$W23,"")</f>
        <v/>
      </c>
      <c r="AA23" s="20">
        <f>IFERROR($I23/$X23,"")</f>
        <v/>
      </c>
    </row>
    <row r="24">
      <c r="A24" s="18" t="n">
        <v>46043</v>
      </c>
      <c r="B24" s="9">
        <f>IF($A24="","",CHOOSE(WEEKDAY(A24,2),"周一","周二","周三","周四","周五","周六","周日"))</f>
        <v/>
      </c>
      <c r="C24" s="5" t="inlineStr">
        <is>
          <t>D4</t>
        </is>
      </c>
      <c r="D24" s="19" t="n">
        <v>320</v>
      </c>
      <c r="E24" s="19" t="n">
        <v>185</v>
      </c>
      <c r="F24" s="20">
        <f>IFERROR($E24/$D24,"")</f>
        <v/>
      </c>
      <c r="G24" s="21" t="n">
        <v>96385</v>
      </c>
      <c r="H24" s="22">
        <f>IFERROR($G24/$E24,"")</f>
        <v/>
      </c>
      <c r="I24" s="22">
        <f>IFERROR($G24/$D24,"")</f>
        <v/>
      </c>
      <c r="J24" s="23" t="n">
        <v>0.6826</v>
      </c>
      <c r="K24" s="21" t="n">
        <v>702</v>
      </c>
      <c r="L24" s="22">
        <f>IFERROR($J24*$K24,"")</f>
        <v/>
      </c>
      <c r="M24" s="24">
        <f>IFERROR($F24/$J24*100,"")</f>
        <v/>
      </c>
      <c r="N24" s="24">
        <f>IFERROR($H24/$K24*100,"")</f>
        <v/>
      </c>
      <c r="O24" s="24">
        <f>IFERROR($I24/$L24*100,"")</f>
        <v/>
      </c>
      <c r="P24" s="25" t="n">
        <v>0.101</v>
      </c>
      <c r="Q24" s="22">
        <f>IFERROR($I24*(1-$P24),"")</f>
        <v/>
      </c>
      <c r="R24" s="19" t="n">
        <v>-3</v>
      </c>
      <c r="S24" s="20">
        <f>IFERROR(SUMIFS($E$4,$A$4:$A$34,"&gt;="&amp;EOMONTH($A24,-1)+1,$A$4:$A$34,"&lt;="&amp;EOMONTH($A24,0))/SUMIFS($D$4,$A$4:$A$34,"&gt;="&amp;EOMONTH($A24,-1)+1,$A$4:$A$34,"&lt;="&amp;EOMONTH($A24,0)),"")</f>
        <v/>
      </c>
      <c r="T24" s="22">
        <f>IFERROR(SUMIFS($G$4,$A$4:$A$34,"&gt;="&amp;EOMONTH($A24,-1)+1,$A$4:$A$34,"&lt;="&amp;EOMONTH($A24,0))/SUMIFS($E$4,$A$4:$A$34,"&gt;="&amp;EOMONTH($A24,-1)+1,$A$4:$A$34,"&lt;="&amp;EOMONTH($A24,0)),"")</f>
        <v/>
      </c>
      <c r="U24" s="22">
        <f>IFERROR(SUMIFS($G$4,$A$4:$A$34,"&gt;="&amp;EOMONTH($A24,-1)+1,$A$4:$A$34,"&lt;="&amp;EOMONTH($A24,0))/SUMIFS($D$4,$A$4:$A$34,"&gt;="&amp;EOMONTH($A24,-1)+1,$A$4:$A$34,"&lt;="&amp;EOMONTH($A24,0)),"")</f>
        <v/>
      </c>
      <c r="V24" s="20">
        <f>IF($A24="","",IFERROR(INDEX(数据字典!$B$5:$B$16,MONTH($A24)),""))</f>
        <v/>
      </c>
      <c r="W24" s="26">
        <f>IF($A24="","",IFERROR(INDEX(数据字典!$C$5:$C$16,MONTH($A24)),""))</f>
        <v/>
      </c>
      <c r="X24" s="22">
        <f>IFERROR($V24*$W24,"")</f>
        <v/>
      </c>
      <c r="Y24" s="20">
        <f>IFERROR($F24/$V24,"")</f>
        <v/>
      </c>
      <c r="Z24" s="20">
        <f>IFERROR($H24/$W24,"")</f>
        <v/>
      </c>
      <c r="AA24" s="20">
        <f>IFERROR($I24/$X24,"")</f>
        <v/>
      </c>
    </row>
    <row r="25">
      <c r="A25" s="18" t="n">
        <v>46044</v>
      </c>
      <c r="B25" s="9">
        <f>IF($A25="","",CHOOSE(WEEKDAY(A25,2),"周一","周二","周三","周四","周五","周六","周日"))</f>
        <v/>
      </c>
      <c r="C25" s="5" t="inlineStr">
        <is>
          <t>D4</t>
        </is>
      </c>
      <c r="D25" s="19" t="n">
        <v>320</v>
      </c>
      <c r="E25" s="19" t="n">
        <v>182</v>
      </c>
      <c r="F25" s="20">
        <f>IFERROR($E25/$D25,"")</f>
        <v/>
      </c>
      <c r="G25" s="21" t="n">
        <v>101010</v>
      </c>
      <c r="H25" s="22">
        <f>IFERROR($G25/$E25,"")</f>
        <v/>
      </c>
      <c r="I25" s="22">
        <f>IFERROR($G25/$D25,"")</f>
        <v/>
      </c>
      <c r="J25" s="23" t="n">
        <v>0.7344000000000001</v>
      </c>
      <c r="K25" s="21" t="n">
        <v>710</v>
      </c>
      <c r="L25" s="22">
        <f>IFERROR($J25*$K25,"")</f>
        <v/>
      </c>
      <c r="M25" s="24">
        <f>IFERROR($F25/$J25*100,"")</f>
        <v/>
      </c>
      <c r="N25" s="24">
        <f>IFERROR($H25/$K25*100,"")</f>
        <v/>
      </c>
      <c r="O25" s="24">
        <f>IFERROR($I25/$L25*100,"")</f>
        <v/>
      </c>
      <c r="P25" s="25" t="n">
        <v>0.101</v>
      </c>
      <c r="Q25" s="22">
        <f>IFERROR($I25*(1-$P25),"")</f>
        <v/>
      </c>
      <c r="R25" s="19" t="n">
        <v>22</v>
      </c>
      <c r="S25" s="20">
        <f>IFERROR(SUMIFS($E$4,$A$4:$A$34,"&gt;="&amp;EOMONTH($A25,-1)+1,$A$4:$A$34,"&lt;="&amp;EOMONTH($A25,0))/SUMIFS($D$4,$A$4:$A$34,"&gt;="&amp;EOMONTH($A25,-1)+1,$A$4:$A$34,"&lt;="&amp;EOMONTH($A25,0)),"")</f>
        <v/>
      </c>
      <c r="T25" s="22">
        <f>IFERROR(SUMIFS($G$4,$A$4:$A$34,"&gt;="&amp;EOMONTH($A25,-1)+1,$A$4:$A$34,"&lt;="&amp;EOMONTH($A25,0))/SUMIFS($E$4,$A$4:$A$34,"&gt;="&amp;EOMONTH($A25,-1)+1,$A$4:$A$34,"&lt;="&amp;EOMONTH($A25,0)),"")</f>
        <v/>
      </c>
      <c r="U25" s="22">
        <f>IFERROR(SUMIFS($G$4,$A$4:$A$34,"&gt;="&amp;EOMONTH($A25,-1)+1,$A$4:$A$34,"&lt;="&amp;EOMONTH($A25,0))/SUMIFS($D$4,$A$4:$A$34,"&gt;="&amp;EOMONTH($A25,-1)+1,$A$4:$A$34,"&lt;="&amp;EOMONTH($A25,0)),"")</f>
        <v/>
      </c>
      <c r="V25" s="20">
        <f>IF($A25="","",IFERROR(INDEX(数据字典!$B$5:$B$16,MONTH($A25)),""))</f>
        <v/>
      </c>
      <c r="W25" s="26">
        <f>IF($A25="","",IFERROR(INDEX(数据字典!$C$5:$C$16,MONTH($A25)),""))</f>
        <v/>
      </c>
      <c r="X25" s="22">
        <f>IFERROR($V25*$W25,"")</f>
        <v/>
      </c>
      <c r="Y25" s="20">
        <f>IFERROR($F25/$V25,"")</f>
        <v/>
      </c>
      <c r="Z25" s="20">
        <f>IFERROR($H25/$W25,"")</f>
        <v/>
      </c>
      <c r="AA25" s="20">
        <f>IFERROR($I25/$X25,"")</f>
        <v/>
      </c>
    </row>
    <row r="26">
      <c r="A26" s="18" t="n">
        <v>46045</v>
      </c>
      <c r="B26" s="9">
        <f>IF($A26="","",CHOOSE(WEEKDAY(A26,2),"周一","周二","周三","周四","周五","周六","周日"))</f>
        <v/>
      </c>
      <c r="C26" s="5" t="inlineStr">
        <is>
          <t>D3</t>
        </is>
      </c>
      <c r="D26" s="19" t="n">
        <v>320</v>
      </c>
      <c r="E26" s="19" t="n">
        <v>214</v>
      </c>
      <c r="F26" s="20">
        <f>IFERROR($E26/$D26,"")</f>
        <v/>
      </c>
      <c r="G26" s="21" t="n">
        <v>120696</v>
      </c>
      <c r="H26" s="22">
        <f>IFERROR($G26/$E26,"")</f>
        <v/>
      </c>
      <c r="I26" s="22">
        <f>IFERROR($G26/$D26,"")</f>
        <v/>
      </c>
      <c r="J26" s="23" t="n">
        <v>0.7055</v>
      </c>
      <c r="K26" s="21" t="n">
        <v>656</v>
      </c>
      <c r="L26" s="22">
        <f>IFERROR($J26*$K26,"")</f>
        <v/>
      </c>
      <c r="M26" s="24">
        <f>IFERROR($F26/$J26*100,"")</f>
        <v/>
      </c>
      <c r="N26" s="24">
        <f>IFERROR($H26/$K26*100,"")</f>
        <v/>
      </c>
      <c r="O26" s="24">
        <f>IFERROR($I26/$L26*100,"")</f>
        <v/>
      </c>
      <c r="P26" s="25" t="n">
        <v>0.101</v>
      </c>
      <c r="Q26" s="22">
        <f>IFERROR($I26*(1-$P26),"")</f>
        <v/>
      </c>
      <c r="R26" s="19" t="n">
        <v>10</v>
      </c>
      <c r="S26" s="20">
        <f>IFERROR(SUMIFS($E$4,$A$4:$A$34,"&gt;="&amp;EOMONTH($A26,-1)+1,$A$4:$A$34,"&lt;="&amp;EOMONTH($A26,0))/SUMIFS($D$4,$A$4:$A$34,"&gt;="&amp;EOMONTH($A26,-1)+1,$A$4:$A$34,"&lt;="&amp;EOMONTH($A26,0)),"")</f>
        <v/>
      </c>
      <c r="T26" s="22">
        <f>IFERROR(SUMIFS($G$4,$A$4:$A$34,"&gt;="&amp;EOMONTH($A26,-1)+1,$A$4:$A$34,"&lt;="&amp;EOMONTH($A26,0))/SUMIFS($E$4,$A$4:$A$34,"&gt;="&amp;EOMONTH($A26,-1)+1,$A$4:$A$34,"&lt;="&amp;EOMONTH($A26,0)),"")</f>
        <v/>
      </c>
      <c r="U26" s="22">
        <f>IFERROR(SUMIFS($G$4,$A$4:$A$34,"&gt;="&amp;EOMONTH($A26,-1)+1,$A$4:$A$34,"&lt;="&amp;EOMONTH($A26,0))/SUMIFS($D$4,$A$4:$A$34,"&gt;="&amp;EOMONTH($A26,-1)+1,$A$4:$A$34,"&lt;="&amp;EOMONTH($A26,0)),"")</f>
        <v/>
      </c>
      <c r="V26" s="20">
        <f>IF($A26="","",IFERROR(INDEX(数据字典!$B$5:$B$16,MONTH($A26)),""))</f>
        <v/>
      </c>
      <c r="W26" s="26">
        <f>IF($A26="","",IFERROR(INDEX(数据字典!$C$5:$C$16,MONTH($A26)),""))</f>
        <v/>
      </c>
      <c r="X26" s="22">
        <f>IFERROR($V26*$W26,"")</f>
        <v/>
      </c>
      <c r="Y26" s="20">
        <f>IFERROR($F26/$V26,"")</f>
        <v/>
      </c>
      <c r="Z26" s="20">
        <f>IFERROR($H26/$W26,"")</f>
        <v/>
      </c>
      <c r="AA26" s="20">
        <f>IFERROR($I26/$X26,"")</f>
        <v/>
      </c>
    </row>
    <row r="27">
      <c r="A27" s="18" t="n">
        <v>46046</v>
      </c>
      <c r="B27" s="9">
        <f>IF($A27="","",CHOOSE(WEEKDAY(A27,2),"周一","周二","周三","周四","周五","周六","周日"))</f>
        <v/>
      </c>
      <c r="C27" s="5" t="inlineStr">
        <is>
          <t>D3</t>
        </is>
      </c>
      <c r="D27" s="19" t="n">
        <v>320</v>
      </c>
      <c r="E27" s="19" t="n">
        <v>226</v>
      </c>
      <c r="F27" s="20">
        <f>IFERROR($E27/$D27,"")</f>
        <v/>
      </c>
      <c r="G27" s="21" t="n">
        <v>143058</v>
      </c>
      <c r="H27" s="22">
        <f>IFERROR($G27/$E27,"")</f>
        <v/>
      </c>
      <c r="I27" s="22">
        <f>IFERROR($G27/$D27,"")</f>
        <v/>
      </c>
      <c r="J27" s="23" t="n">
        <v>0.7098</v>
      </c>
      <c r="K27" s="21" t="n">
        <v>695</v>
      </c>
      <c r="L27" s="22">
        <f>IFERROR($J27*$K27,"")</f>
        <v/>
      </c>
      <c r="M27" s="24">
        <f>IFERROR($F27/$J27*100,"")</f>
        <v/>
      </c>
      <c r="N27" s="24">
        <f>IFERROR($H27/$K27*100,"")</f>
        <v/>
      </c>
      <c r="O27" s="24">
        <f>IFERROR($I27/$L27*100,"")</f>
        <v/>
      </c>
      <c r="P27" s="25" t="n">
        <v>0.101</v>
      </c>
      <c r="Q27" s="22">
        <f>IFERROR($I27*(1-$P27),"")</f>
        <v/>
      </c>
      <c r="R27" s="19" t="n">
        <v>18</v>
      </c>
      <c r="S27" s="20">
        <f>IFERROR(SUMIFS($E$4,$A$4:$A$34,"&gt;="&amp;EOMONTH($A27,-1)+1,$A$4:$A$34,"&lt;="&amp;EOMONTH($A27,0))/SUMIFS($D$4,$A$4:$A$34,"&gt;="&amp;EOMONTH($A27,-1)+1,$A$4:$A$34,"&lt;="&amp;EOMONTH($A27,0)),"")</f>
        <v/>
      </c>
      <c r="T27" s="22">
        <f>IFERROR(SUMIFS($G$4,$A$4:$A$34,"&gt;="&amp;EOMONTH($A27,-1)+1,$A$4:$A$34,"&lt;="&amp;EOMONTH($A27,0))/SUMIFS($E$4,$A$4:$A$34,"&gt;="&amp;EOMONTH($A27,-1)+1,$A$4:$A$34,"&lt;="&amp;EOMONTH($A27,0)),"")</f>
        <v/>
      </c>
      <c r="U27" s="22">
        <f>IFERROR(SUMIFS($G$4,$A$4:$A$34,"&gt;="&amp;EOMONTH($A27,-1)+1,$A$4:$A$34,"&lt;="&amp;EOMONTH($A27,0))/SUMIFS($D$4,$A$4:$A$34,"&gt;="&amp;EOMONTH($A27,-1)+1,$A$4:$A$34,"&lt;="&amp;EOMONTH($A27,0)),"")</f>
        <v/>
      </c>
      <c r="V27" s="20">
        <f>IF($A27="","",IFERROR(INDEX(数据字典!$B$5:$B$16,MONTH($A27)),""))</f>
        <v/>
      </c>
      <c r="W27" s="26">
        <f>IF($A27="","",IFERROR(INDEX(数据字典!$C$5:$C$16,MONTH($A27)),""))</f>
        <v/>
      </c>
      <c r="X27" s="22">
        <f>IFERROR($V27*$W27,"")</f>
        <v/>
      </c>
      <c r="Y27" s="20">
        <f>IFERROR($F27/$V27,"")</f>
        <v/>
      </c>
      <c r="Z27" s="20">
        <f>IFERROR($H27/$W27,"")</f>
        <v/>
      </c>
      <c r="AA27" s="20">
        <f>IFERROR($I27/$X27,"")</f>
        <v/>
      </c>
    </row>
    <row r="28">
      <c r="A28" s="18" t="n">
        <v>46047</v>
      </c>
      <c r="B28" s="9">
        <f>IF($A28="","",CHOOSE(WEEKDAY(A28,2),"周一","周二","周三","周四","周五","周六","周日"))</f>
        <v/>
      </c>
      <c r="C28" s="5" t="inlineStr">
        <is>
          <t>D3</t>
        </is>
      </c>
      <c r="D28" s="19" t="n">
        <v>320</v>
      </c>
      <c r="E28" s="19" t="n">
        <v>196</v>
      </c>
      <c r="F28" s="20">
        <f>IFERROR($E28/$D28,"")</f>
        <v/>
      </c>
      <c r="G28" s="21" t="n">
        <v>107212</v>
      </c>
      <c r="H28" s="22">
        <f>IFERROR($G28/$E28,"")</f>
        <v/>
      </c>
      <c r="I28" s="22">
        <f>IFERROR($G28/$D28,"")</f>
        <v/>
      </c>
      <c r="J28" s="23" t="n">
        <v>0.7149</v>
      </c>
      <c r="K28" s="21" t="n">
        <v>677</v>
      </c>
      <c r="L28" s="22">
        <f>IFERROR($J28*$K28,"")</f>
        <v/>
      </c>
      <c r="M28" s="24">
        <f>IFERROR($F28/$J28*100,"")</f>
        <v/>
      </c>
      <c r="N28" s="24">
        <f>IFERROR($H28/$K28*100,"")</f>
        <v/>
      </c>
      <c r="O28" s="24">
        <f>IFERROR($I28/$L28*100,"")</f>
        <v/>
      </c>
      <c r="P28" s="25" t="n">
        <v>0.101</v>
      </c>
      <c r="Q28" s="22">
        <f>IFERROR($I28*(1-$P28),"")</f>
        <v/>
      </c>
      <c r="R28" s="19" t="n">
        <v>0</v>
      </c>
      <c r="S28" s="20">
        <f>IFERROR(SUMIFS($E$4,$A$4:$A$34,"&gt;="&amp;EOMONTH($A28,-1)+1,$A$4:$A$34,"&lt;="&amp;EOMONTH($A28,0))/SUMIFS($D$4,$A$4:$A$34,"&gt;="&amp;EOMONTH($A28,-1)+1,$A$4:$A$34,"&lt;="&amp;EOMONTH($A28,0)),"")</f>
        <v/>
      </c>
      <c r="T28" s="22">
        <f>IFERROR(SUMIFS($G$4,$A$4:$A$34,"&gt;="&amp;EOMONTH($A28,-1)+1,$A$4:$A$34,"&lt;="&amp;EOMONTH($A28,0))/SUMIFS($E$4,$A$4:$A$34,"&gt;="&amp;EOMONTH($A28,-1)+1,$A$4:$A$34,"&lt;="&amp;EOMONTH($A28,0)),"")</f>
        <v/>
      </c>
      <c r="U28" s="22">
        <f>IFERROR(SUMIFS($G$4,$A$4:$A$34,"&gt;="&amp;EOMONTH($A28,-1)+1,$A$4:$A$34,"&lt;="&amp;EOMONTH($A28,0))/SUMIFS($D$4,$A$4:$A$34,"&gt;="&amp;EOMONTH($A28,-1)+1,$A$4:$A$34,"&lt;="&amp;EOMONTH($A28,0)),"")</f>
        <v/>
      </c>
      <c r="V28" s="20">
        <f>IF($A28="","",IFERROR(INDEX(数据字典!$B$5:$B$16,MONTH($A28)),""))</f>
        <v/>
      </c>
      <c r="W28" s="26">
        <f>IF($A28="","",IFERROR(INDEX(数据字典!$C$5:$C$16,MONTH($A28)),""))</f>
        <v/>
      </c>
      <c r="X28" s="22">
        <f>IFERROR($V28*$W28,"")</f>
        <v/>
      </c>
      <c r="Y28" s="20">
        <f>IFERROR($F28/$V28,"")</f>
        <v/>
      </c>
      <c r="Z28" s="20">
        <f>IFERROR($H28/$W28,"")</f>
        <v/>
      </c>
      <c r="AA28" s="20">
        <f>IFERROR($I28/$X28,"")</f>
        <v/>
      </c>
    </row>
    <row r="29">
      <c r="A29" s="18" t="n">
        <v>46048</v>
      </c>
      <c r="B29" s="9">
        <f>IF($A29="","",CHOOSE(WEEKDAY(A29,2),"周一","周二","周三","周四","周五","周六","周日"))</f>
        <v/>
      </c>
      <c r="C29" s="5" t="inlineStr">
        <is>
          <t>D4</t>
        </is>
      </c>
      <c r="D29" s="19" t="n">
        <v>320</v>
      </c>
      <c r="E29" s="19" t="n">
        <v>160</v>
      </c>
      <c r="F29" s="20">
        <f>IFERROR($E29/$D29,"")</f>
        <v/>
      </c>
      <c r="G29" s="21" t="n">
        <v>82880</v>
      </c>
      <c r="H29" s="22">
        <f>IFERROR($G29/$E29,"")</f>
        <v/>
      </c>
      <c r="I29" s="22">
        <f>IFERROR($G29/$D29,"")</f>
        <v/>
      </c>
      <c r="J29" s="23" t="n">
        <v>0.7271</v>
      </c>
      <c r="K29" s="21" t="n">
        <v>713</v>
      </c>
      <c r="L29" s="22">
        <f>IFERROR($J29*$K29,"")</f>
        <v/>
      </c>
      <c r="M29" s="24">
        <f>IFERROR($F29/$J29*100,"")</f>
        <v/>
      </c>
      <c r="N29" s="24">
        <f>IFERROR($H29/$K29*100,"")</f>
        <v/>
      </c>
      <c r="O29" s="24">
        <f>IFERROR($I29/$L29*100,"")</f>
        <v/>
      </c>
      <c r="P29" s="25" t="n">
        <v>0.101</v>
      </c>
      <c r="Q29" s="22">
        <f>IFERROR($I29*(1-$P29),"")</f>
        <v/>
      </c>
      <c r="R29" s="19" t="n">
        <v>16</v>
      </c>
      <c r="S29" s="20">
        <f>IFERROR(SUMIFS($E$4,$A$4:$A$34,"&gt;="&amp;EOMONTH($A29,-1)+1,$A$4:$A$34,"&lt;="&amp;EOMONTH($A29,0))/SUMIFS($D$4,$A$4:$A$34,"&gt;="&amp;EOMONTH($A29,-1)+1,$A$4:$A$34,"&lt;="&amp;EOMONTH($A29,0)),"")</f>
        <v/>
      </c>
      <c r="T29" s="22">
        <f>IFERROR(SUMIFS($G$4,$A$4:$A$34,"&gt;="&amp;EOMONTH($A29,-1)+1,$A$4:$A$34,"&lt;="&amp;EOMONTH($A29,0))/SUMIFS($E$4,$A$4:$A$34,"&gt;="&amp;EOMONTH($A29,-1)+1,$A$4:$A$34,"&lt;="&amp;EOMONTH($A29,0)),"")</f>
        <v/>
      </c>
      <c r="U29" s="22">
        <f>IFERROR(SUMIFS($G$4,$A$4:$A$34,"&gt;="&amp;EOMONTH($A29,-1)+1,$A$4:$A$34,"&lt;="&amp;EOMONTH($A29,0))/SUMIFS($D$4,$A$4:$A$34,"&gt;="&amp;EOMONTH($A29,-1)+1,$A$4:$A$34,"&lt;="&amp;EOMONTH($A29,0)),"")</f>
        <v/>
      </c>
      <c r="V29" s="20">
        <f>IF($A29="","",IFERROR(INDEX(数据字典!$B$5:$B$16,MONTH($A29)),""))</f>
        <v/>
      </c>
      <c r="W29" s="26">
        <f>IF($A29="","",IFERROR(INDEX(数据字典!$C$5:$C$16,MONTH($A29)),""))</f>
        <v/>
      </c>
      <c r="X29" s="22">
        <f>IFERROR($V29*$W29,"")</f>
        <v/>
      </c>
      <c r="Y29" s="20">
        <f>IFERROR($F29/$V29,"")</f>
        <v/>
      </c>
      <c r="Z29" s="20">
        <f>IFERROR($H29/$W29,"")</f>
        <v/>
      </c>
      <c r="AA29" s="20">
        <f>IFERROR($I29/$X29,"")</f>
        <v/>
      </c>
    </row>
    <row r="30">
      <c r="A30" s="18" t="n">
        <v>46049</v>
      </c>
      <c r="B30" s="9">
        <f>IF($A30="","",CHOOSE(WEEKDAY(A30,2),"周一","周二","周三","周四","周五","周六","周日"))</f>
        <v/>
      </c>
      <c r="C30" s="5" t="inlineStr">
        <is>
          <t>D4</t>
        </is>
      </c>
      <c r="D30" s="19" t="n">
        <v>320</v>
      </c>
      <c r="E30" s="19" t="n">
        <v>175</v>
      </c>
      <c r="F30" s="20">
        <f>IFERROR($E30/$D30,"")</f>
        <v/>
      </c>
      <c r="G30" s="21" t="n">
        <v>93275</v>
      </c>
      <c r="H30" s="22">
        <f>IFERROR($G30/$E30,"")</f>
        <v/>
      </c>
      <c r="I30" s="22">
        <f>IFERROR($G30/$D30,"")</f>
        <v/>
      </c>
      <c r="J30" s="23" t="n">
        <v>0.699</v>
      </c>
      <c r="K30" s="21" t="n">
        <v>692</v>
      </c>
      <c r="L30" s="22">
        <f>IFERROR($J30*$K30,"")</f>
        <v/>
      </c>
      <c r="M30" s="24">
        <f>IFERROR($F30/$J30*100,"")</f>
        <v/>
      </c>
      <c r="N30" s="24">
        <f>IFERROR($H30/$K30*100,"")</f>
        <v/>
      </c>
      <c r="O30" s="24">
        <f>IFERROR($I30/$L30*100,"")</f>
        <v/>
      </c>
      <c r="P30" s="25" t="n">
        <v>0.101</v>
      </c>
      <c r="Q30" s="22">
        <f>IFERROR($I30*(1-$P30),"")</f>
        <v/>
      </c>
      <c r="R30" s="19" t="n">
        <v>-6</v>
      </c>
      <c r="S30" s="20">
        <f>IFERROR(SUMIFS($E$4,$A$4:$A$34,"&gt;="&amp;EOMONTH($A30,-1)+1,$A$4:$A$34,"&lt;="&amp;EOMONTH($A30,0))/SUMIFS($D$4,$A$4:$A$34,"&gt;="&amp;EOMONTH($A30,-1)+1,$A$4:$A$34,"&lt;="&amp;EOMONTH($A30,0)),"")</f>
        <v/>
      </c>
      <c r="T30" s="22">
        <f>IFERROR(SUMIFS($G$4,$A$4:$A$34,"&gt;="&amp;EOMONTH($A30,-1)+1,$A$4:$A$34,"&lt;="&amp;EOMONTH($A30,0))/SUMIFS($E$4,$A$4:$A$34,"&gt;="&amp;EOMONTH($A30,-1)+1,$A$4:$A$34,"&lt;="&amp;EOMONTH($A30,0)),"")</f>
        <v/>
      </c>
      <c r="U30" s="22">
        <f>IFERROR(SUMIFS($G$4,$A$4:$A$34,"&gt;="&amp;EOMONTH($A30,-1)+1,$A$4:$A$34,"&lt;="&amp;EOMONTH($A30,0))/SUMIFS($D$4,$A$4:$A$34,"&gt;="&amp;EOMONTH($A30,-1)+1,$A$4:$A$34,"&lt;="&amp;EOMONTH($A30,0)),"")</f>
        <v/>
      </c>
      <c r="V30" s="20">
        <f>IF($A30="","",IFERROR(INDEX(数据字典!$B$5:$B$16,MONTH($A30)),""))</f>
        <v/>
      </c>
      <c r="W30" s="26">
        <f>IF($A30="","",IFERROR(INDEX(数据字典!$C$5:$C$16,MONTH($A30)),""))</f>
        <v/>
      </c>
      <c r="X30" s="22">
        <f>IFERROR($V30*$W30,"")</f>
        <v/>
      </c>
      <c r="Y30" s="20">
        <f>IFERROR($F30/$V30,"")</f>
        <v/>
      </c>
      <c r="Z30" s="20">
        <f>IFERROR($H30/$W30,"")</f>
        <v/>
      </c>
      <c r="AA30" s="20">
        <f>IFERROR($I30/$X30,"")</f>
        <v/>
      </c>
    </row>
    <row r="31">
      <c r="A31" s="18" t="n">
        <v>46050</v>
      </c>
      <c r="B31" s="9">
        <f>IF($A31="","",CHOOSE(WEEKDAY(A31,2),"周一","周二","周三","周四","周五","周六","周日"))</f>
        <v/>
      </c>
      <c r="C31" s="5" t="inlineStr">
        <is>
          <t>D4</t>
        </is>
      </c>
      <c r="D31" s="19" t="n">
        <v>320</v>
      </c>
      <c r="E31" s="19" t="n">
        <v>170</v>
      </c>
      <c r="F31" s="20">
        <f>IFERROR($E31/$D31,"")</f>
        <v/>
      </c>
      <c r="G31" s="21" t="n">
        <v>92310</v>
      </c>
      <c r="H31" s="22">
        <f>IFERROR($G31/$E31,"")</f>
        <v/>
      </c>
      <c r="I31" s="22">
        <f>IFERROR($G31/$D31,"")</f>
        <v/>
      </c>
      <c r="J31" s="23" t="n">
        <v>0.7562</v>
      </c>
      <c r="K31" s="21" t="n">
        <v>683</v>
      </c>
      <c r="L31" s="22">
        <f>IFERROR($J31*$K31,"")</f>
        <v/>
      </c>
      <c r="M31" s="24">
        <f>IFERROR($F31/$J31*100,"")</f>
        <v/>
      </c>
      <c r="N31" s="24">
        <f>IFERROR($H31/$K31*100,"")</f>
        <v/>
      </c>
      <c r="O31" s="24">
        <f>IFERROR($I31/$L31*100,"")</f>
        <v/>
      </c>
      <c r="P31" s="25" t="n">
        <v>0.101</v>
      </c>
      <c r="Q31" s="22">
        <f>IFERROR($I31*(1-$P31),"")</f>
        <v/>
      </c>
      <c r="R31" s="19" t="n">
        <v>10</v>
      </c>
      <c r="S31" s="20">
        <f>IFERROR(SUMIFS($E$4,$A$4:$A$34,"&gt;="&amp;EOMONTH($A31,-1)+1,$A$4:$A$34,"&lt;="&amp;EOMONTH($A31,0))/SUMIFS($D$4,$A$4:$A$34,"&gt;="&amp;EOMONTH($A31,-1)+1,$A$4:$A$34,"&lt;="&amp;EOMONTH($A31,0)),"")</f>
        <v/>
      </c>
      <c r="T31" s="22">
        <f>IFERROR(SUMIFS($G$4,$A$4:$A$34,"&gt;="&amp;EOMONTH($A31,-1)+1,$A$4:$A$34,"&lt;="&amp;EOMONTH($A31,0))/SUMIFS($E$4,$A$4:$A$34,"&gt;="&amp;EOMONTH($A31,-1)+1,$A$4:$A$34,"&lt;="&amp;EOMONTH($A31,0)),"")</f>
        <v/>
      </c>
      <c r="U31" s="22">
        <f>IFERROR(SUMIFS($G$4,$A$4:$A$34,"&gt;="&amp;EOMONTH($A31,-1)+1,$A$4:$A$34,"&lt;="&amp;EOMONTH($A31,0))/SUMIFS($D$4,$A$4:$A$34,"&gt;="&amp;EOMONTH($A31,-1)+1,$A$4:$A$34,"&lt;="&amp;EOMONTH($A31,0)),"")</f>
        <v/>
      </c>
      <c r="V31" s="20">
        <f>IF($A31="","",IFERROR(INDEX(数据字典!$B$5:$B$16,MONTH($A31)),""))</f>
        <v/>
      </c>
      <c r="W31" s="26">
        <f>IF($A31="","",IFERROR(INDEX(数据字典!$C$5:$C$16,MONTH($A31)),""))</f>
        <v/>
      </c>
      <c r="X31" s="22">
        <f>IFERROR($V31*$W31,"")</f>
        <v/>
      </c>
      <c r="Y31" s="20">
        <f>IFERROR($F31/$V31,"")</f>
        <v/>
      </c>
      <c r="Z31" s="20">
        <f>IFERROR($H31/$W31,"")</f>
        <v/>
      </c>
      <c r="AA31" s="20">
        <f>IFERROR($I31/$X31,"")</f>
        <v/>
      </c>
    </row>
    <row r="32">
      <c r="A32" s="18" t="n">
        <v>46051</v>
      </c>
      <c r="B32" s="9">
        <f>IF($A32="","",CHOOSE(WEEKDAY(A32,2),"周一","周二","周三","周四","周五","周六","周日"))</f>
        <v/>
      </c>
      <c r="C32" s="5" t="inlineStr">
        <is>
          <t>D4</t>
        </is>
      </c>
      <c r="D32" s="19" t="n">
        <v>320</v>
      </c>
      <c r="E32" s="19" t="n">
        <v>179</v>
      </c>
      <c r="F32" s="20">
        <f>IFERROR($E32/$D32,"")</f>
        <v/>
      </c>
      <c r="G32" s="21" t="n">
        <v>95228</v>
      </c>
      <c r="H32" s="22">
        <f>IFERROR($G32/$E32,"")</f>
        <v/>
      </c>
      <c r="I32" s="22">
        <f>IFERROR($G32/$D32,"")</f>
        <v/>
      </c>
      <c r="J32" s="23" t="n">
        <v>0.7033</v>
      </c>
      <c r="K32" s="21" t="n">
        <v>675</v>
      </c>
      <c r="L32" s="22">
        <f>IFERROR($J32*$K32,"")</f>
        <v/>
      </c>
      <c r="M32" s="24">
        <f>IFERROR($F32/$J32*100,"")</f>
        <v/>
      </c>
      <c r="N32" s="24">
        <f>IFERROR($H32/$K32*100,"")</f>
        <v/>
      </c>
      <c r="O32" s="24">
        <f>IFERROR($I32/$L32*100,"")</f>
        <v/>
      </c>
      <c r="P32" s="25" t="n">
        <v>0.101</v>
      </c>
      <c r="Q32" s="22">
        <f>IFERROR($I32*(1-$P32),"")</f>
        <v/>
      </c>
      <c r="R32" s="19" t="n">
        <v>17</v>
      </c>
      <c r="S32" s="20">
        <f>IFERROR(SUMIFS($E$4,$A$4:$A$34,"&gt;="&amp;EOMONTH($A32,-1)+1,$A$4:$A$34,"&lt;="&amp;EOMONTH($A32,0))/SUMIFS($D$4,$A$4:$A$34,"&gt;="&amp;EOMONTH($A32,-1)+1,$A$4:$A$34,"&lt;="&amp;EOMONTH($A32,0)),"")</f>
        <v/>
      </c>
      <c r="T32" s="22">
        <f>IFERROR(SUMIFS($G$4,$A$4:$A$34,"&gt;="&amp;EOMONTH($A32,-1)+1,$A$4:$A$34,"&lt;="&amp;EOMONTH($A32,0))/SUMIFS($E$4,$A$4:$A$34,"&gt;="&amp;EOMONTH($A32,-1)+1,$A$4:$A$34,"&lt;="&amp;EOMONTH($A32,0)),"")</f>
        <v/>
      </c>
      <c r="U32" s="22">
        <f>IFERROR(SUMIFS($G$4,$A$4:$A$34,"&gt;="&amp;EOMONTH($A32,-1)+1,$A$4:$A$34,"&lt;="&amp;EOMONTH($A32,0))/SUMIFS($D$4,$A$4:$A$34,"&gt;="&amp;EOMONTH($A32,-1)+1,$A$4:$A$34,"&lt;="&amp;EOMONTH($A32,0)),"")</f>
        <v/>
      </c>
      <c r="V32" s="20">
        <f>IF($A32="","",IFERROR(INDEX(数据字典!$B$5:$B$16,MONTH($A32)),""))</f>
        <v/>
      </c>
      <c r="W32" s="26">
        <f>IF($A32="","",IFERROR(INDEX(数据字典!$C$5:$C$16,MONTH($A32)),""))</f>
        <v/>
      </c>
      <c r="X32" s="22">
        <f>IFERROR($V32*$W32,"")</f>
        <v/>
      </c>
      <c r="Y32" s="20">
        <f>IFERROR($F32/$V32,"")</f>
        <v/>
      </c>
      <c r="Z32" s="20">
        <f>IFERROR($H32/$W32,"")</f>
        <v/>
      </c>
      <c r="AA32" s="20">
        <f>IFERROR($I32/$X32,"")</f>
        <v/>
      </c>
    </row>
    <row r="33">
      <c r="A33" s="18" t="n">
        <v>46052</v>
      </c>
      <c r="B33" s="9">
        <f>IF($A33="","",CHOOSE(WEEKDAY(A33,2),"周一","周二","周三","周四","周五","周六","周日"))</f>
        <v/>
      </c>
      <c r="C33" s="5" t="inlineStr">
        <is>
          <t>D3</t>
        </is>
      </c>
      <c r="D33" s="19" t="n">
        <v>320</v>
      </c>
      <c r="E33" s="19" t="n">
        <v>208</v>
      </c>
      <c r="F33" s="20">
        <f>IFERROR($E33/$D33,"")</f>
        <v/>
      </c>
      <c r="G33" s="21" t="n">
        <v>121680</v>
      </c>
      <c r="H33" s="22">
        <f>IFERROR($G33/$E33,"")</f>
        <v/>
      </c>
      <c r="I33" s="22">
        <f>IFERROR($G33/$D33,"")</f>
        <v/>
      </c>
      <c r="J33" s="23" t="n">
        <v>0.7262999999999999</v>
      </c>
      <c r="K33" s="21" t="n">
        <v>677</v>
      </c>
      <c r="L33" s="22">
        <f>IFERROR($J33*$K33,"")</f>
        <v/>
      </c>
      <c r="M33" s="24">
        <f>IFERROR($F33/$J33*100,"")</f>
        <v/>
      </c>
      <c r="N33" s="24">
        <f>IFERROR($H33/$K33*100,"")</f>
        <v/>
      </c>
      <c r="O33" s="24">
        <f>IFERROR($I33/$L33*100,"")</f>
        <v/>
      </c>
      <c r="P33" s="25" t="n">
        <v>0.101</v>
      </c>
      <c r="Q33" s="22">
        <f>IFERROR($I33*(1-$P33),"")</f>
        <v/>
      </c>
      <c r="R33" s="19" t="n">
        <v>-3</v>
      </c>
      <c r="S33" s="20">
        <f>IFERROR(SUMIFS($E$4,$A$4:$A$34,"&gt;="&amp;EOMONTH($A33,-1)+1,$A$4:$A$34,"&lt;="&amp;EOMONTH($A33,0))/SUMIFS($D$4,$A$4:$A$34,"&gt;="&amp;EOMONTH($A33,-1)+1,$A$4:$A$34,"&lt;="&amp;EOMONTH($A33,0)),"")</f>
        <v/>
      </c>
      <c r="T33" s="22">
        <f>IFERROR(SUMIFS($G$4,$A$4:$A$34,"&gt;="&amp;EOMONTH($A33,-1)+1,$A$4:$A$34,"&lt;="&amp;EOMONTH($A33,0))/SUMIFS($E$4,$A$4:$A$34,"&gt;="&amp;EOMONTH($A33,-1)+1,$A$4:$A$34,"&lt;="&amp;EOMONTH($A33,0)),"")</f>
        <v/>
      </c>
      <c r="U33" s="22">
        <f>IFERROR(SUMIFS($G$4,$A$4:$A$34,"&gt;="&amp;EOMONTH($A33,-1)+1,$A$4:$A$34,"&lt;="&amp;EOMONTH($A33,0))/SUMIFS($D$4,$A$4:$A$34,"&gt;="&amp;EOMONTH($A33,-1)+1,$A$4:$A$34,"&lt;="&amp;EOMONTH($A33,0)),"")</f>
        <v/>
      </c>
      <c r="V33" s="20">
        <f>IF($A33="","",IFERROR(INDEX(数据字典!$B$5:$B$16,MONTH($A33)),""))</f>
        <v/>
      </c>
      <c r="W33" s="26">
        <f>IF($A33="","",IFERROR(INDEX(数据字典!$C$5:$C$16,MONTH($A33)),""))</f>
        <v/>
      </c>
      <c r="X33" s="22">
        <f>IFERROR($V33*$W33,"")</f>
        <v/>
      </c>
      <c r="Y33" s="20">
        <f>IFERROR($F33/$V33,"")</f>
        <v/>
      </c>
      <c r="Z33" s="20">
        <f>IFERROR($H33/$W33,"")</f>
        <v/>
      </c>
      <c r="AA33" s="20">
        <f>IFERROR($I33/$X33,"")</f>
        <v/>
      </c>
    </row>
    <row r="34">
      <c r="A34" s="18" t="n">
        <v>46053</v>
      </c>
      <c r="B34" s="9">
        <f>IF($A34="","",CHOOSE(WEEKDAY(A34,2),"周一","周二","周三","周四","周五","周六","周日"))</f>
        <v/>
      </c>
      <c r="C34" s="5" t="inlineStr">
        <is>
          <t>D3</t>
        </is>
      </c>
      <c r="D34" s="19" t="n">
        <v>320</v>
      </c>
      <c r="E34" s="19" t="n">
        <v>245</v>
      </c>
      <c r="F34" s="20">
        <f>IFERROR($E34/$D34,"")</f>
        <v/>
      </c>
      <c r="G34" s="21" t="n">
        <v>148960</v>
      </c>
      <c r="H34" s="22">
        <f>IFERROR($G34/$E34,"")</f>
        <v/>
      </c>
      <c r="I34" s="22">
        <f>IFERROR($G34/$D34,"")</f>
        <v/>
      </c>
      <c r="J34" s="23" t="n">
        <v>0.7177</v>
      </c>
      <c r="K34" s="21" t="n">
        <v>694</v>
      </c>
      <c r="L34" s="22">
        <f>IFERROR($J34*$K34,"")</f>
        <v/>
      </c>
      <c r="M34" s="24">
        <f>IFERROR($F34/$J34*100,"")</f>
        <v/>
      </c>
      <c r="N34" s="24">
        <f>IFERROR($H34/$K34*100,"")</f>
        <v/>
      </c>
      <c r="O34" s="24">
        <f>IFERROR($I34/$L34*100,"")</f>
        <v/>
      </c>
      <c r="P34" s="25" t="n">
        <v>0.101</v>
      </c>
      <c r="Q34" s="22">
        <f>IFERROR($I34*(1-$P34),"")</f>
        <v/>
      </c>
      <c r="R34" s="19" t="n">
        <v>7</v>
      </c>
      <c r="S34" s="20">
        <f>IFERROR(SUMIFS($E$4,$A$4:$A$34,"&gt;="&amp;EOMONTH($A34,-1)+1,$A$4:$A$34,"&lt;="&amp;EOMONTH($A34,0))/SUMIFS($D$4,$A$4:$A$34,"&gt;="&amp;EOMONTH($A34,-1)+1,$A$4:$A$34,"&lt;="&amp;EOMONTH($A34,0)),"")</f>
        <v/>
      </c>
      <c r="T34" s="22">
        <f>IFERROR(SUMIFS($G$4,$A$4:$A$34,"&gt;="&amp;EOMONTH($A34,-1)+1,$A$4:$A$34,"&lt;="&amp;EOMONTH($A34,0))/SUMIFS($E$4,$A$4:$A$34,"&gt;="&amp;EOMONTH($A34,-1)+1,$A$4:$A$34,"&lt;="&amp;EOMONTH($A34,0)),"")</f>
        <v/>
      </c>
      <c r="U34" s="22">
        <f>IFERROR(SUMIFS($G$4,$A$4:$A$34,"&gt;="&amp;EOMONTH($A34,-1)+1,$A$4:$A$34,"&lt;="&amp;EOMONTH($A34,0))/SUMIFS($D$4,$A$4:$A$34,"&gt;="&amp;EOMONTH($A34,-1)+1,$A$4:$A$34,"&lt;="&amp;EOMONTH($A34,0)),"")</f>
        <v/>
      </c>
      <c r="V34" s="20">
        <f>IF($A34="","",IFERROR(INDEX(数据字典!$B$5:$B$16,MONTH($A34)),""))</f>
        <v/>
      </c>
      <c r="W34" s="26">
        <f>IF($A34="","",IFERROR(INDEX(数据字典!$C$5:$C$16,MONTH($A34)),""))</f>
        <v/>
      </c>
      <c r="X34" s="22">
        <f>IFERROR($V34*$W34,"")</f>
        <v/>
      </c>
      <c r="Y34" s="20">
        <f>IFERROR($F34/$V34,"")</f>
        <v/>
      </c>
      <c r="Z34" s="20">
        <f>IFERROR($H34/$W34,"")</f>
        <v/>
      </c>
      <c r="AA34" s="20">
        <f>IFERROR($I34/$X34,"")</f>
        <v/>
      </c>
    </row>
  </sheetData>
  <mergeCells count="2">
    <mergeCell ref="A1:AA1"/>
    <mergeCell ref="A2:AA2"/>
  </mergeCells>
  <conditionalFormatting sqref="M4:M34">
    <cfRule type="cellIs" priority="1" operator="greaterThanOrEqual" dxfId="0">
      <formula>100</formula>
    </cfRule>
    <cfRule type="cellIs" priority="2" operator="between" dxfId="1">
      <formula>95</formula>
      <formula>100</formula>
    </cfRule>
    <cfRule type="cellIs" priority="3" operator="lessThan" dxfId="2">
      <formula>95</formula>
    </cfRule>
  </conditionalFormatting>
  <conditionalFormatting sqref="N4:N34">
    <cfRule type="cellIs" priority="4" operator="between" dxfId="0">
      <formula>97</formula>
      <formula>103</formula>
    </cfRule>
    <cfRule type="cellIs" priority="5" operator="between" dxfId="1">
      <formula>90</formula>
      <formula>110</formula>
    </cfRule>
    <cfRule type="cellIs" priority="6" operator="lessThan" dxfId="2">
      <formula>97</formula>
    </cfRule>
    <cfRule type="cellIs" priority="7" operator="greaterThan" dxfId="2">
      <formula>103</formula>
    </cfRule>
  </conditionalFormatting>
  <conditionalFormatting sqref="O4:O34">
    <cfRule type="cellIs" priority="8" operator="greaterThanOrEqual" dxfId="0">
      <formula>100</formula>
    </cfRule>
    <cfRule type="cellIs" priority="9" operator="between" dxfId="1">
      <formula>95</formula>
      <formula>100</formula>
    </cfRule>
    <cfRule type="cellIs" priority="10" operator="lessThan" dxfId="2">
      <formula>95</formula>
    </cfRule>
  </conditionalFormatting>
  <conditionalFormatting sqref="Y4:Y34">
    <cfRule type="cellIs" priority="11" operator="greaterThanOrEqual" dxfId="0">
      <formula>1</formula>
    </cfRule>
    <cfRule type="cellIs" priority="12" operator="between" dxfId="1">
      <formula>0.95</formula>
      <formula>0.9999</formula>
    </cfRule>
    <cfRule type="cellIs" priority="13" operator="lessThan" dxfId="2">
      <formula>0.95</formula>
    </cfRule>
  </conditionalFormatting>
  <conditionalFormatting sqref="Z4:Z34">
    <cfRule type="cellIs" priority="14" operator="greaterThanOrEqual" dxfId="0">
      <formula>1</formula>
    </cfRule>
    <cfRule type="cellIs" priority="15" operator="between" dxfId="1">
      <formula>0.95</formula>
      <formula>0.9999</formula>
    </cfRule>
    <cfRule type="cellIs" priority="16" operator="lessThan" dxfId="2">
      <formula>0.95</formula>
    </cfRule>
  </conditionalFormatting>
  <conditionalFormatting sqref="AA4:AA34">
    <cfRule type="cellIs" priority="17" operator="greaterThanOrEqual" dxfId="0">
      <formula>1</formula>
    </cfRule>
    <cfRule type="cellIs" priority="18" operator="between" dxfId="1">
      <formula>0.95</formula>
      <formula>0.9999</formula>
    </cfRule>
    <cfRule type="cellIs" priority="19" operator="lessThan" dxfId="2">
      <formula>0.95</formula>
    </cfRule>
  </conditionalFormatting>
  <conditionalFormatting sqref="R4:R34">
    <cfRule type="cellIs" priority="20" operator="greaterThan" dxfId="2">
      <formula>0</formula>
    </cfRule>
    <cfRule type="cellIs" priority="21" operator="lessThan" dxfId="3">
      <formula>0</formula>
    </cfRule>
    <cfRule type="cellIs" priority="22" operator="equal" dxfId="4">
      <formula>0</formula>
    </cfRule>
  </conditionalFormatting>
  <dataValidations count="7">
    <dataValidation sqref="C4:C34" showDropDown="0" showInputMessage="0" showErrorMessage="1" allowBlank="1" type="list">
      <formula1>"D1,D2,D3,D4"</formula1>
    </dataValidation>
    <dataValidation sqref="A4:A34" showDropDown="0" showInputMessage="0" showErrorMessage="0" allowBlank="1" type="date" operator="greaterThan">
      <formula1>DATE(2000,1,1)</formula1>
    </dataValidation>
    <dataValidation sqref="F4:F34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J4:J34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P4:P34" showDropDown="0" showInputMessage="0" showErrorMessage="1" allowBlank="1" errorTitle="超出范围" error="请输入 0 ~ 0.6 之间的数值" type="decimal" operator="between">
      <formula1>0</formula1>
      <formula2>0.6</formula2>
    </dataValidation>
    <dataValidation sqref="D4:E34" showDropDown="0" showInputMessage="0" showErrorMessage="1" allowBlank="1" errorTitle="超出范围" error="请输入 0 ~ 1000 之间的数值" type="decimal" operator="between">
      <formula1>0</formula1>
      <formula2>1000</formula2>
    </dataValidation>
    <dataValidation sqref="R4:R34" showDropDown="0" showInputMessage="0" showErrorMessage="1" allowBlank="1" errorTitle="超出范围" error="请输入 -500 ~ 500 之间的数值" type="decimal" operator="between">
      <formula1>-500</formula1>
      <formula2>500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46" customWidth="1" min="4" max="4"/>
    <col width="40" customWidth="1" min="5" max="5"/>
  </cols>
  <sheetData>
    <row r="1" ht="30" customHeight="1">
      <c r="A1" s="1" t="inlineStr">
        <is>
          <t>数据字典 · 指标口径 / 参数主数据</t>
        </is>
      </c>
    </row>
    <row r="2" ht="26" customHeight="1">
      <c r="A2" s="2" t="inlineStr">
        <is>
          <t>本页为《每日收益日报》的参数来源。口径以 SPEC.md 第三、四章为准，灰底为参考参数。</t>
        </is>
      </c>
    </row>
    <row r="3" ht="22" customHeight="1">
      <c r="A3" s="3" t="inlineStr">
        <is>
          <t>一、月度预算参数（SPEC 2.5，日报预算列自动引用本表）</t>
        </is>
      </c>
    </row>
    <row r="4" ht="22" customHeight="1">
      <c r="A4" s="12" t="inlineStr">
        <is>
          <t>月份</t>
        </is>
      </c>
      <c r="B4" s="12" t="inlineStr">
        <is>
          <t>预算 OCC</t>
        </is>
      </c>
      <c r="C4" s="12" t="inlineStr">
        <is>
          <t>预算 ADR</t>
        </is>
      </c>
    </row>
    <row r="5">
      <c r="A5" s="27" t="n">
        <v>1</v>
      </c>
      <c r="B5" s="23" t="n">
        <v>0.58</v>
      </c>
      <c r="C5" s="21" t="n">
        <v>540</v>
      </c>
    </row>
    <row r="6">
      <c r="A6" s="27" t="n">
        <v>2</v>
      </c>
      <c r="B6" s="23" t="n">
        <v>0.62</v>
      </c>
      <c r="C6" s="21" t="n">
        <v>560</v>
      </c>
    </row>
    <row r="7">
      <c r="A7" s="27" t="n">
        <v>3</v>
      </c>
      <c r="B7" s="23" t="n">
        <v>0.74</v>
      </c>
      <c r="C7" s="21" t="n">
        <v>600</v>
      </c>
    </row>
    <row r="8">
      <c r="A8" s="27" t="n">
        <v>4</v>
      </c>
      <c r="B8" s="23" t="n">
        <v>0.82</v>
      </c>
      <c r="C8" s="21" t="n">
        <v>660</v>
      </c>
    </row>
    <row r="9">
      <c r="A9" s="27" t="n">
        <v>5</v>
      </c>
      <c r="B9" s="23" t="n">
        <v>0.84</v>
      </c>
      <c r="C9" s="21" t="n">
        <v>690</v>
      </c>
    </row>
    <row r="10">
      <c r="A10" s="27" t="n">
        <v>6</v>
      </c>
      <c r="B10" s="23" t="n">
        <v>0.76</v>
      </c>
      <c r="C10" s="21" t="n">
        <v>620</v>
      </c>
    </row>
    <row r="11">
      <c r="A11" s="27" t="n">
        <v>7</v>
      </c>
      <c r="B11" s="23" t="n">
        <v>0.7</v>
      </c>
      <c r="C11" s="21" t="n">
        <v>580</v>
      </c>
    </row>
    <row r="12">
      <c r="A12" s="27" t="n">
        <v>8</v>
      </c>
      <c r="B12" s="23" t="n">
        <v>0.78</v>
      </c>
      <c r="C12" s="21" t="n">
        <v>630</v>
      </c>
    </row>
    <row r="13">
      <c r="A13" s="27" t="n">
        <v>9</v>
      </c>
      <c r="B13" s="23" t="n">
        <v>0.83</v>
      </c>
      <c r="C13" s="21" t="n">
        <v>670</v>
      </c>
    </row>
    <row r="14">
      <c r="A14" s="27" t="n">
        <v>10</v>
      </c>
      <c r="B14" s="23" t="n">
        <v>0.85</v>
      </c>
      <c r="C14" s="21" t="n">
        <v>700</v>
      </c>
    </row>
    <row r="15">
      <c r="A15" s="27" t="n">
        <v>11</v>
      </c>
      <c r="B15" s="23" t="n">
        <v>0.78</v>
      </c>
      <c r="C15" s="21" t="n">
        <v>640</v>
      </c>
    </row>
    <row r="16">
      <c r="A16" s="27" t="n">
        <v>12</v>
      </c>
      <c r="B16" s="23" t="n">
        <v>0.68</v>
      </c>
      <c r="C16" s="21" t="n">
        <v>570</v>
      </c>
    </row>
    <row r="18" ht="22" customHeight="1">
      <c r="A18" s="3" t="inlineStr">
        <is>
          <t>二、渠道成本率（SPEC 2.3）</t>
        </is>
      </c>
    </row>
    <row r="19" ht="22" customHeight="1">
      <c r="A19" s="12" t="inlineStr">
        <is>
          <t>渠道</t>
        </is>
      </c>
      <c r="B19" s="12" t="inlineStr">
        <is>
          <t>代码</t>
        </is>
      </c>
      <c r="C19" s="12" t="inlineStr">
        <is>
          <t>综合成本率</t>
        </is>
      </c>
      <c r="D19" s="12" t="inlineStr">
        <is>
          <t>说明</t>
        </is>
      </c>
      <c r="E19" s="12" t="inlineStr"/>
    </row>
    <row r="20">
      <c r="A20" s="7" t="inlineStr">
        <is>
          <t>直销（官网/小程序/前台）</t>
        </is>
      </c>
      <c r="B20" s="13" t="inlineStr">
        <is>
          <t>DIR</t>
        </is>
      </c>
      <c r="C20" s="25" t="n">
        <v>0.03</v>
      </c>
      <c r="D20" s="7" t="inlineStr">
        <is>
          <t>含支付手续费与系统费</t>
        </is>
      </c>
    </row>
    <row r="21">
      <c r="A21" s="7" t="inlineStr">
        <is>
          <t>协议公司（含返佣/账期）</t>
        </is>
      </c>
      <c r="B21" s="13" t="inlineStr">
        <is>
          <t>CORP</t>
        </is>
      </c>
      <c r="C21" s="25" t="n">
        <v>0.08</v>
      </c>
      <c r="D21" s="7" t="inlineStr">
        <is>
          <t>含返佣与账期成本</t>
        </is>
      </c>
    </row>
    <row r="22">
      <c r="A22" s="7" t="inlineStr">
        <is>
          <t>会员直订</t>
        </is>
      </c>
      <c r="B22" s="13" t="inlineStr">
        <is>
          <t>LOY</t>
        </is>
      </c>
      <c r="C22" s="25" t="n">
        <v>0.04</v>
      </c>
      <c r="D22" s="7" t="inlineStr">
        <is>
          <t>积分成本</t>
        </is>
      </c>
    </row>
    <row r="23">
      <c r="A23" s="7" t="inlineStr">
        <is>
          <t>OTA 国内（携程/美团/飞猪）</t>
        </is>
      </c>
      <c r="B23" s="13" t="inlineStr">
        <is>
          <t>OTA</t>
        </is>
      </c>
      <c r="C23" s="25" t="n">
        <v>0.16</v>
      </c>
      <c r="D23" s="7" t="inlineStr">
        <is>
          <t>佣金</t>
        </is>
      </c>
    </row>
    <row r="24">
      <c r="A24" s="7" t="inlineStr">
        <is>
          <t>OTA 国际（Booking/Agoda）</t>
        </is>
      </c>
      <c r="B24" s="13" t="inlineStr">
        <is>
          <t>OTA-I</t>
        </is>
      </c>
      <c r="C24" s="25" t="n">
        <v>0.18</v>
      </c>
      <c r="D24" s="7" t="inlineStr">
        <is>
          <t>佣金</t>
        </is>
      </c>
    </row>
    <row r="25">
      <c r="A25" s="7" t="inlineStr">
        <is>
          <t>GDS / 商旅 TMC</t>
        </is>
      </c>
      <c r="B25" s="13" t="inlineStr">
        <is>
          <t>GDS</t>
        </is>
      </c>
      <c r="C25" s="25" t="n">
        <v>0.13</v>
      </c>
      <c r="D25" s="7" t="inlineStr">
        <is>
          <t>佣金+通道费</t>
        </is>
      </c>
    </row>
    <row r="26">
      <c r="A26" s="7" t="inlineStr">
        <is>
          <t>批发商 / 包房商</t>
        </is>
      </c>
      <c r="B26" s="13" t="inlineStr">
        <is>
          <t>WHO</t>
        </is>
      </c>
      <c r="C26" s="25" t="n">
        <v>0.26</v>
      </c>
      <c r="D26" s="7" t="inlineStr">
        <is>
          <t>净价结算</t>
        </is>
      </c>
    </row>
    <row r="28" ht="22" customHeight="1">
      <c r="A28" s="3" t="inlineStr">
        <is>
          <t>三、客源结构与综合渠道成本率（SPEC 2.3）</t>
        </is>
      </c>
    </row>
    <row r="29" ht="22" customHeight="1">
      <c r="A29" s="12" t="inlineStr">
        <is>
          <t>细分代码</t>
        </is>
      </c>
      <c r="B29" s="12" t="inlineStr">
        <is>
          <t>细分名称</t>
        </is>
      </c>
      <c r="C29" s="12" t="inlineStr">
        <is>
          <t>房晚占比</t>
        </is>
      </c>
      <c r="D29" s="12" t="inlineStr">
        <is>
          <t>平均 ADR</t>
        </is>
      </c>
      <c r="E29" s="12" t="inlineStr">
        <is>
          <t>渠道</t>
        </is>
      </c>
      <c r="F29" s="12" t="inlineStr">
        <is>
          <t>渠道成本率</t>
        </is>
      </c>
    </row>
    <row r="30">
      <c r="A30" s="13" t="inlineStr">
        <is>
          <t>FIT-WI</t>
        </is>
      </c>
      <c r="B30" s="7" t="inlineStr">
        <is>
          <t>上门散客</t>
        </is>
      </c>
      <c r="C30" s="25" t="n">
        <v>0.08</v>
      </c>
      <c r="D30" s="21" t="n">
        <v>720</v>
      </c>
      <c r="E30" s="5" t="inlineStr">
        <is>
          <t>DIR</t>
        </is>
      </c>
      <c r="F30" s="28">
        <f>IFERROR(VLOOKUP($E30,$A$20:$C$26,3,FALSE),"")</f>
        <v/>
      </c>
    </row>
    <row r="31">
      <c r="A31" s="13" t="inlineStr">
        <is>
          <t>FIT-DIR</t>
        </is>
      </c>
      <c r="B31" s="7" t="inlineStr">
        <is>
          <t>官网/小程序直销</t>
        </is>
      </c>
      <c r="C31" s="25" t="n">
        <v>0.17</v>
      </c>
      <c r="D31" s="21" t="n">
        <v>650</v>
      </c>
      <c r="E31" s="5" t="inlineStr">
        <is>
          <t>DIR</t>
        </is>
      </c>
      <c r="F31" s="28">
        <f>IFERROR(VLOOKUP($E31,$A$20:$C$26,3,FALSE),"")</f>
        <v/>
      </c>
    </row>
    <row r="32">
      <c r="A32" s="13" t="inlineStr">
        <is>
          <t>FIT-OTA</t>
        </is>
      </c>
      <c r="B32" s="7" t="inlineStr">
        <is>
          <t>OTA 散客</t>
        </is>
      </c>
      <c r="C32" s="25" t="n">
        <v>0.31</v>
      </c>
      <c r="D32" s="21" t="n">
        <v>598</v>
      </c>
      <c r="E32" s="5" t="inlineStr">
        <is>
          <t>OTA</t>
        </is>
      </c>
      <c r="F32" s="28">
        <f>IFERROR(VLOOKUP($E32,$A$20:$C$26,3,FALSE),"")</f>
        <v/>
      </c>
    </row>
    <row r="33">
      <c r="A33" s="13" t="inlineStr">
        <is>
          <t>CORP</t>
        </is>
      </c>
      <c r="B33" s="7" t="inlineStr">
        <is>
          <t>协议公司客户</t>
        </is>
      </c>
      <c r="C33" s="25" t="n">
        <v>0.22</v>
      </c>
      <c r="D33" s="21" t="n">
        <v>520</v>
      </c>
      <c r="E33" s="5" t="inlineStr">
        <is>
          <t>CORP</t>
        </is>
      </c>
      <c r="F33" s="28">
        <f>IFERROR(VLOOKUP($E33,$A$20:$C$26,3,FALSE),"")</f>
        <v/>
      </c>
    </row>
    <row r="34">
      <c r="A34" s="13" t="inlineStr">
        <is>
          <t>LOY</t>
        </is>
      </c>
      <c r="B34" s="7" t="inlineStr">
        <is>
          <t>会员（忠诚计划）</t>
        </is>
      </c>
      <c r="C34" s="25" t="n">
        <v>0.12</v>
      </c>
      <c r="D34" s="21" t="n">
        <v>580</v>
      </c>
      <c r="E34" s="5" t="inlineStr">
        <is>
          <t>LOY</t>
        </is>
      </c>
      <c r="F34" s="28">
        <f>IFERROR(VLOOKUP($E34,$A$20:$C$26,3,FALSE),"")</f>
        <v/>
      </c>
    </row>
    <row r="35">
      <c r="A35" s="13" t="inlineStr">
        <is>
          <t>GRP</t>
        </is>
      </c>
      <c r="B35" s="7" t="inlineStr">
        <is>
          <t>团队（旅游/会议）</t>
        </is>
      </c>
      <c r="C35" s="25" t="n">
        <v>0.08</v>
      </c>
      <c r="D35" s="21" t="n">
        <v>450</v>
      </c>
      <c r="E35" s="5" t="inlineStr">
        <is>
          <t>WHO</t>
        </is>
      </c>
      <c r="F35" s="28">
        <f>IFERROR(VLOOKUP($E35,$A$20:$C$26,3,FALSE),"")</f>
        <v/>
      </c>
    </row>
    <row r="36">
      <c r="A36" s="13" t="inlineStr">
        <is>
          <t>LNG</t>
        </is>
      </c>
      <c r="B36" s="7" t="inlineStr">
        <is>
          <t>长住客</t>
        </is>
      </c>
      <c r="C36" s="25" t="n">
        <v>0.02</v>
      </c>
      <c r="D36" s="21" t="n">
        <v>380</v>
      </c>
      <c r="E36" s="5" t="inlineStr">
        <is>
          <t>DIR</t>
        </is>
      </c>
      <c r="F36" s="28">
        <f>IFERROR(VLOOKUP($E36,$A$20:$C$26,3,FALSE),"")</f>
        <v/>
      </c>
    </row>
    <row r="37">
      <c r="A37" s="29" t="inlineStr">
        <is>
          <t>合计</t>
        </is>
      </c>
      <c r="B37" s="29" t="inlineStr">
        <is>
          <t>加权平均</t>
        </is>
      </c>
      <c r="C37" s="28">
        <f>SUM($C$30:$C$36)</f>
        <v/>
      </c>
      <c r="D37" s="22">
        <f>IFERROR(SUMPRODUCT($C$30:$C$36,$D$30:$D$36)/SUM($C$30:$C$36),"")</f>
        <v/>
      </c>
      <c r="E37" s="29" t="inlineStr">
        <is>
          <t>综合渠道成本率</t>
        </is>
      </c>
      <c r="F37" s="28">
        <f>IFERROR(SUMPRODUCT($C$30:$C$36,$F$30:$F$36)/SUM($C$30:$C$36),"")</f>
        <v/>
      </c>
    </row>
    <row r="39" ht="22" customHeight="1">
      <c r="A39" s="3" t="inlineStr">
        <is>
          <t>四、核心指标口径（SPEC 3.1）</t>
        </is>
      </c>
    </row>
    <row r="40" ht="22" customHeight="1">
      <c r="A40" s="12" t="inlineStr">
        <is>
          <t>指标</t>
        </is>
      </c>
      <c r="B40" s="12" t="inlineStr">
        <is>
          <t>中文名</t>
        </is>
      </c>
      <c r="C40" s="12" t="inlineStr">
        <is>
          <t>单位</t>
        </is>
      </c>
      <c r="D40" s="12" t="inlineStr">
        <is>
          <t>公式</t>
        </is>
      </c>
      <c r="E40" s="12" t="inlineStr">
        <is>
          <t>说明</t>
        </is>
      </c>
    </row>
    <row r="41">
      <c r="A41" s="13" t="inlineStr">
        <is>
          <t>OCC</t>
        </is>
      </c>
      <c r="B41" s="7" t="inlineStr">
        <is>
          <t>出租率</t>
        </is>
      </c>
      <c r="C41" s="13" t="inlineStr">
        <is>
          <t>%</t>
        </is>
      </c>
      <c r="D41" s="7" t="inlineStr">
        <is>
          <t>已售房晚 ÷ 可售房晚 × 100%</t>
        </is>
      </c>
      <c r="E41" s="7" t="inlineStr">
        <is>
          <t>分母为可售房晚（剔除装修/OOO 房）</t>
        </is>
      </c>
    </row>
    <row r="42">
      <c r="A42" s="13" t="inlineStr">
        <is>
          <t>ADR</t>
        </is>
      </c>
      <c r="B42" s="7" t="inlineStr">
        <is>
          <t>平均房价</t>
        </is>
      </c>
      <c r="C42" s="13" t="inlineStr">
        <is>
          <t>元</t>
        </is>
      </c>
      <c r="D42" s="7" t="inlineStr">
        <is>
          <t>客房收入 ÷ 已售房晚</t>
        </is>
      </c>
      <c r="E42" s="7" t="inlineStr">
        <is>
          <t>含服务费、不含增值税</t>
        </is>
      </c>
    </row>
    <row r="43">
      <c r="A43" s="13" t="inlineStr">
        <is>
          <t>RevPAR</t>
        </is>
      </c>
      <c r="B43" s="7" t="inlineStr">
        <is>
          <t>每间可售房收入</t>
        </is>
      </c>
      <c r="C43" s="13" t="inlineStr">
        <is>
          <t>元</t>
        </is>
      </c>
      <c r="D43" s="7" t="inlineStr">
        <is>
          <t>客房收入 ÷ 可售房晚 = OCC × ADR</t>
        </is>
      </c>
      <c r="E43" s="7" t="inlineStr">
        <is>
          <t>收益管理第一指标</t>
        </is>
      </c>
    </row>
    <row r="44">
      <c r="A44" s="13" t="inlineStr">
        <is>
          <t>TrevPAR</t>
        </is>
      </c>
      <c r="B44" s="7" t="inlineStr">
        <is>
          <t>每间可售房总营收</t>
        </is>
      </c>
      <c r="C44" s="13" t="inlineStr">
        <is>
          <t>元</t>
        </is>
      </c>
      <c r="D44" s="7" t="inlineStr">
        <is>
          <t>总营收 ÷ 可售房晚</t>
        </is>
      </c>
      <c r="E44" s="7" t="inlineStr">
        <is>
          <t>全服务酒店须同时看（等价 RevPE）</t>
        </is>
      </c>
    </row>
    <row r="45">
      <c r="A45" s="13" t="inlineStr">
        <is>
          <t>GOPPAR</t>
        </is>
      </c>
      <c r="B45" s="7" t="inlineStr">
        <is>
          <t>每间可售房毛利润</t>
        </is>
      </c>
      <c r="C45" s="13" t="inlineStr">
        <is>
          <t>元</t>
        </is>
      </c>
      <c r="D45" s="7" t="inlineStr">
        <is>
          <t>GOP ÷ 可售房晚</t>
        </is>
      </c>
      <c r="E45" s="7" t="inlineStr">
        <is>
          <t>最终考核指标</t>
        </is>
      </c>
    </row>
    <row r="46">
      <c r="A46" s="13" t="inlineStr">
        <is>
          <t>MPI</t>
        </is>
      </c>
      <c r="B46" s="7" t="inlineStr">
        <is>
          <t>市场渗透指数</t>
        </is>
      </c>
      <c r="C46" s="13" t="inlineStr">
        <is>
          <t>指数</t>
        </is>
      </c>
      <c r="D46" s="7" t="inlineStr">
        <is>
          <t>本店 OCC ÷ 竞争组合 OCC × 100</t>
        </is>
      </c>
      <c r="E46" s="7" t="inlineStr">
        <is>
          <t>&gt;100 表示份额领先</t>
        </is>
      </c>
    </row>
    <row r="47">
      <c r="A47" s="13" t="inlineStr">
        <is>
          <t>ARI</t>
        </is>
      </c>
      <c r="B47" s="7" t="inlineStr">
        <is>
          <t>平均房价指数</t>
        </is>
      </c>
      <c r="C47" s="13" t="inlineStr">
        <is>
          <t>指数</t>
        </is>
      </c>
      <c r="D47" s="7" t="inlineStr">
        <is>
          <t>本店 ADR ÷ 竞争组合 ADR × 100</t>
        </is>
      </c>
      <c r="E47" s="7" t="inlineStr">
        <is>
          <t>&gt;100 表示卖得比竞对贵</t>
        </is>
      </c>
    </row>
    <row r="48">
      <c r="A48" s="13" t="inlineStr">
        <is>
          <t>RGI</t>
        </is>
      </c>
      <c r="B48" s="7" t="inlineStr">
        <is>
          <t>收入生成指数</t>
        </is>
      </c>
      <c r="C48" s="13" t="inlineStr">
        <is>
          <t>指数</t>
        </is>
      </c>
      <c r="D48" s="7" t="inlineStr">
        <is>
          <t>本店 RevPAR ÷ 竞争组合 RevPAR × 100</t>
        </is>
      </c>
      <c r="E48" s="7">
        <f> MPI × ARI ÷ 100</f>
        <v/>
      </c>
    </row>
    <row r="49">
      <c r="A49" s="13" t="inlineStr">
        <is>
          <t>NRevPAR</t>
        </is>
      </c>
      <c r="B49" s="7" t="inlineStr">
        <is>
          <t>净 RevPAR</t>
        </is>
      </c>
      <c r="C49" s="13" t="inlineStr">
        <is>
          <t>元</t>
        </is>
      </c>
      <c r="D49" s="7" t="inlineStr">
        <is>
          <t>RevPAR × (1 − 渠道综合成本率)</t>
        </is>
      </c>
      <c r="E49" s="7" t="inlineStr">
        <is>
          <t>剔除渠道成本后的真实收益</t>
        </is>
      </c>
    </row>
    <row r="50">
      <c r="A50" s="13" t="inlineStr">
        <is>
          <t>Pickup</t>
        </is>
      </c>
      <c r="B50" s="7" t="inlineStr">
        <is>
          <t>预订增量</t>
        </is>
      </c>
      <c r="C50" s="13" t="inlineStr">
        <is>
          <t>房晚</t>
        </is>
      </c>
      <c r="D50" s="7" t="inlineStr">
        <is>
          <t>某目标日在某时段内新增的预订房晚</t>
        </is>
      </c>
      <c r="E50" s="7" t="inlineStr">
        <is>
          <t>正值=新增，负值=取消净额</t>
        </is>
      </c>
    </row>
    <row r="51">
      <c r="A51" s="13" t="inlineStr">
        <is>
          <t>Booking Window</t>
        </is>
      </c>
      <c r="B51" s="7" t="inlineStr">
        <is>
          <t>预订窗口</t>
        </is>
      </c>
      <c r="C51" s="13" t="inlineStr">
        <is>
          <t>天</t>
        </is>
      </c>
      <c r="D51" s="7" t="inlineStr">
        <is>
          <t>入住日 − 预订日</t>
        </is>
      </c>
      <c r="E51" s="7" t="inlineStr">
        <is>
          <t>分档见《法典》表 I</t>
        </is>
      </c>
    </row>
    <row r="52">
      <c r="A52" s="13" t="inlineStr">
        <is>
          <t>RW</t>
        </is>
      </c>
      <c r="B52" s="7" t="inlineStr">
        <is>
          <t>剩余需求分析</t>
        </is>
      </c>
      <c r="C52" s="13" t="inlineStr">
        <is>
          <t>房晚</t>
        </is>
      </c>
      <c r="D52" s="7" t="inlineStr">
        <is>
          <t>预测总需求 − 在手预订</t>
        </is>
      </c>
      <c r="E52" s="7" t="inlineStr">
        <is>
          <t>Remaining Demand</t>
        </is>
      </c>
    </row>
    <row r="53">
      <c r="A53" s="13" t="inlineStr">
        <is>
          <t>BAR</t>
        </is>
      </c>
      <c r="B53" s="7" t="inlineStr">
        <is>
          <t>最优可用房价</t>
        </is>
      </c>
      <c r="C53" s="13" t="inlineStr">
        <is>
          <t>元</t>
        </is>
      </c>
      <c r="D53" s="7" t="inlineStr">
        <is>
          <t>公开可订的基准弹性价</t>
        </is>
      </c>
      <c r="E53" s="7" t="inlineStr">
        <is>
          <t>所有折扣的锚点</t>
        </is>
      </c>
    </row>
    <row r="54">
      <c r="A54" s="13" t="inlineStr">
        <is>
          <t>Displacement</t>
        </is>
      </c>
      <c r="B54" s="7" t="inlineStr">
        <is>
          <t>置换分析</t>
        </is>
      </c>
      <c r="C54" s="13" t="inlineStr">
        <is>
          <t>元</t>
        </is>
      </c>
      <c r="D54" s="7" t="inlineStr">
        <is>
          <t>比较团队/协议与散客的边际收益</t>
        </is>
      </c>
      <c r="E54" s="7" t="inlineStr">
        <is>
          <t>见《法典》表 G</t>
        </is>
      </c>
    </row>
    <row r="56" ht="22" customHeight="1">
      <c r="A56" s="3" t="inlineStr">
        <is>
          <t>五、需求等级（SPEC 2.5）</t>
        </is>
      </c>
    </row>
    <row r="57" ht="22" customHeight="1">
      <c r="A57" s="12" t="inlineStr">
        <is>
          <t>等级</t>
        </is>
      </c>
      <c r="B57" s="12" t="inlineStr">
        <is>
          <t>名称</t>
        </is>
      </c>
      <c r="C57" s="12" t="inlineStr">
        <is>
          <t>价格系数</t>
        </is>
      </c>
      <c r="D57" s="12" t="inlineStr">
        <is>
          <t>目标 OCC</t>
        </is>
      </c>
      <c r="E57" s="12" t="inlineStr">
        <is>
          <t>典型日期</t>
        </is>
      </c>
    </row>
    <row r="58">
      <c r="A58" s="13" t="inlineStr">
        <is>
          <t>D1</t>
        </is>
      </c>
      <c r="B58" s="7" t="inlineStr">
        <is>
          <t>峰值日 PEAK</t>
        </is>
      </c>
      <c r="C58" s="13" t="inlineStr">
        <is>
          <t>150–200%</t>
        </is>
      </c>
      <c r="D58" s="13" t="inlineStr">
        <is>
          <t>≥95%</t>
        </is>
      </c>
      <c r="E58" s="7" t="inlineStr">
        <is>
          <t>国庆1–5、五一1–3、春节初三–初六、动漫节/云栖大会/马拉松</t>
        </is>
      </c>
    </row>
    <row r="59">
      <c r="A59" s="13" t="inlineStr">
        <is>
          <t>D2</t>
        </is>
      </c>
      <c r="B59" s="7" t="inlineStr">
        <is>
          <t>高涨日 HIGH</t>
        </is>
      </c>
      <c r="C59" s="13" t="inlineStr">
        <is>
          <t>120–150%</t>
        </is>
      </c>
      <c r="D59" s="13" t="inlineStr">
        <is>
          <t>88–95%</t>
        </is>
      </c>
      <c r="E59" s="7" t="inlineStr">
        <is>
          <t>旺季周五六、展会周边日、暑期周末</t>
        </is>
      </c>
    </row>
    <row r="60">
      <c r="A60" s="13" t="inlineStr">
        <is>
          <t>D3</t>
        </is>
      </c>
      <c r="B60" s="7" t="inlineStr">
        <is>
          <t>平峰日 SHOULDER</t>
        </is>
      </c>
      <c r="C60" s="13" t="inlineStr">
        <is>
          <t>95–110%</t>
        </is>
      </c>
      <c r="D60" s="13" t="inlineStr">
        <is>
          <t>72–85%</t>
        </is>
      </c>
      <c r="E60" s="7" t="inlineStr">
        <is>
          <t>平季周五六、旺季周日–周四</t>
        </is>
      </c>
    </row>
    <row r="61">
      <c r="A61" s="13" t="inlineStr">
        <is>
          <t>D4</t>
        </is>
      </c>
      <c r="B61" s="7" t="inlineStr">
        <is>
          <t>低谷日 LOW</t>
        </is>
      </c>
      <c r="C61" s="13" t="inlineStr">
        <is>
          <t>70–85%</t>
        </is>
      </c>
      <c r="D61" s="13" t="inlineStr">
        <is>
          <t>45–65%</t>
        </is>
      </c>
      <c r="E61" s="7" t="inlineStr">
        <is>
          <t>1–2月淡季、7月上中旬、节后3–5天、极端天气</t>
        </is>
      </c>
    </row>
    <row r="63" ht="22" customHeight="1">
      <c r="A63" s="3" t="inlineStr">
        <is>
          <t>六、日报字段字典</t>
        </is>
      </c>
    </row>
    <row r="64" ht="22" customHeight="1">
      <c r="A64" s="12" t="inlineStr">
        <is>
          <t>列</t>
        </is>
      </c>
      <c r="B64" s="12" t="inlineStr">
        <is>
          <t>字段</t>
        </is>
      </c>
      <c r="C64" s="12" t="inlineStr">
        <is>
          <t>类型</t>
        </is>
      </c>
      <c r="D64" s="12" t="inlineStr">
        <is>
          <t>口径 / 预置公式</t>
        </is>
      </c>
      <c r="E64" s="12" t="inlineStr">
        <is>
          <t>说明</t>
        </is>
      </c>
    </row>
    <row r="65">
      <c r="A65" s="13" t="inlineStr">
        <is>
          <t>A</t>
        </is>
      </c>
      <c r="B65" s="7" t="inlineStr">
        <is>
          <t>日期</t>
        </is>
      </c>
      <c r="C65" s="13" t="inlineStr">
        <is>
          <t>输入</t>
        </is>
      </c>
      <c r="D65" s="7" t="inlineStr">
        <is>
          <t>—</t>
        </is>
      </c>
      <c r="E65" s="7" t="inlineStr">
        <is>
          <t>经营日（或目标日），所有月度累计按此列归月</t>
        </is>
      </c>
    </row>
    <row r="66">
      <c r="A66" s="13" t="inlineStr">
        <is>
          <t>B</t>
        </is>
      </c>
      <c r="B66" s="7" t="inlineStr">
        <is>
          <t>星期</t>
        </is>
      </c>
      <c r="C66" s="13" t="inlineStr">
        <is>
          <t>公式</t>
        </is>
      </c>
      <c r="D66" s="7" t="inlineStr">
        <is>
          <t>CHOOSE(WEEKDAY(A,2),"周一"…"周日")</t>
        </is>
      </c>
      <c r="E66" s="7" t="inlineStr">
        <is>
          <t>自动</t>
        </is>
      </c>
    </row>
    <row r="67">
      <c r="A67" s="13" t="inlineStr">
        <is>
          <t>C</t>
        </is>
      </c>
      <c r="B67" s="7" t="inlineStr">
        <is>
          <t>需求等级</t>
        </is>
      </c>
      <c r="C67" s="13" t="inlineStr">
        <is>
          <t>输入</t>
        </is>
      </c>
      <c r="D67" s="7" t="inlineStr">
        <is>
          <t>D1/D2/D3/D4 下拉</t>
        </is>
      </c>
      <c r="E67" s="7" t="inlineStr">
        <is>
          <t>SPEC 2.5</t>
        </is>
      </c>
    </row>
    <row r="68">
      <c r="A68" s="13" t="inlineStr">
        <is>
          <t>D-E</t>
        </is>
      </c>
      <c r="B68" s="7" t="inlineStr">
        <is>
          <t>可售房量 / 已售房晚</t>
        </is>
      </c>
      <c r="C68" s="13" t="inlineStr">
        <is>
          <t>输入</t>
        </is>
      </c>
      <c r="D68" s="7" t="inlineStr">
        <is>
          <t>—</t>
        </is>
      </c>
      <c r="E68" s="7" t="inlineStr">
        <is>
          <t>分母为可售房晚</t>
        </is>
      </c>
    </row>
    <row r="69">
      <c r="A69" s="13" t="inlineStr">
        <is>
          <t>F</t>
        </is>
      </c>
      <c r="B69" s="7" t="inlineStr">
        <is>
          <t>OCC</t>
        </is>
      </c>
      <c r="C69" s="13" t="inlineStr">
        <is>
          <t>公式</t>
        </is>
      </c>
      <c r="D69" s="7">
        <f>E/D</f>
        <v/>
      </c>
      <c r="E69" s="7" t="inlineStr">
        <is>
          <t>出租率</t>
        </is>
      </c>
    </row>
    <row r="70">
      <c r="A70" s="13" t="inlineStr">
        <is>
          <t>G</t>
        </is>
      </c>
      <c r="B70" s="7" t="inlineStr">
        <is>
          <t>客房收入</t>
        </is>
      </c>
      <c r="C70" s="13" t="inlineStr">
        <is>
          <t>输入</t>
        </is>
      </c>
      <c r="D70" s="7" t="inlineStr">
        <is>
          <t>—</t>
        </is>
      </c>
      <c r="E70" s="7" t="inlineStr">
        <is>
          <t>含服务费不含税</t>
        </is>
      </c>
    </row>
    <row r="71">
      <c r="A71" s="13" t="inlineStr">
        <is>
          <t>H-I</t>
        </is>
      </c>
      <c r="B71" s="7" t="inlineStr">
        <is>
          <t>ADR / RevPAR</t>
        </is>
      </c>
      <c r="C71" s="13" t="inlineStr">
        <is>
          <t>公式</t>
        </is>
      </c>
      <c r="D71" s="7">
        <f>G/E ； =G/D</f>
        <v/>
      </c>
      <c r="E71" s="7" t="n"/>
    </row>
    <row r="72">
      <c r="A72" s="13" t="inlineStr">
        <is>
          <t>J-K</t>
        </is>
      </c>
      <c r="B72" s="7" t="inlineStr">
        <is>
          <t>竞争组合 OCC / ADR</t>
        </is>
      </c>
      <c r="C72" s="13" t="inlineStr">
        <is>
          <t>输入</t>
        </is>
      </c>
      <c r="D72" s="7" t="inlineStr">
        <is>
          <t>—</t>
        </is>
      </c>
      <c r="E72" s="7" t="inlineStr">
        <is>
          <t>5 家竞对加权</t>
        </is>
      </c>
    </row>
    <row r="73">
      <c r="A73" s="13" t="inlineStr">
        <is>
          <t>L</t>
        </is>
      </c>
      <c r="B73" s="7" t="inlineStr">
        <is>
          <t>竞争组合 RevPAR</t>
        </is>
      </c>
      <c r="C73" s="13" t="inlineStr">
        <is>
          <t>公式</t>
        </is>
      </c>
      <c r="D73" s="7">
        <f>J*K</f>
        <v/>
      </c>
      <c r="E73" s="7" t="n"/>
    </row>
    <row r="74">
      <c r="A74" s="13" t="inlineStr">
        <is>
          <t>M-O</t>
        </is>
      </c>
      <c r="B74" s="7" t="inlineStr">
        <is>
          <t>MPI / ARI / RGI</t>
        </is>
      </c>
      <c r="C74" s="13" t="inlineStr">
        <is>
          <t>公式</t>
        </is>
      </c>
      <c r="D74" s="7">
        <f>F/J*100 ； =H/K*100 ； =I/L*100</f>
        <v/>
      </c>
      <c r="E74" s="7" t="inlineStr">
        <is>
          <t>SPEC 3.1</t>
        </is>
      </c>
    </row>
    <row r="75">
      <c r="A75" s="13" t="inlineStr">
        <is>
          <t>P</t>
        </is>
      </c>
      <c r="B75" s="7" t="inlineStr">
        <is>
          <t>渠道成本率</t>
        </is>
      </c>
      <c r="C75" s="13" t="inlineStr">
        <is>
          <t>输入</t>
        </is>
      </c>
      <c r="D75" s="7" t="inlineStr">
        <is>
          <t>默认 10.1%</t>
        </is>
      </c>
      <c r="E75" s="7" t="inlineStr">
        <is>
          <t>来自本页第三节综合渠道成本率</t>
        </is>
      </c>
    </row>
    <row r="76">
      <c r="A76" s="13" t="inlineStr">
        <is>
          <t>Q</t>
        </is>
      </c>
      <c r="B76" s="7" t="inlineStr">
        <is>
          <t>NRevPAR</t>
        </is>
      </c>
      <c r="C76" s="13" t="inlineStr">
        <is>
          <t>公式</t>
        </is>
      </c>
      <c r="D76" s="7">
        <f>I*(1-P)</f>
        <v/>
      </c>
      <c r="E76" s="7" t="n"/>
    </row>
    <row r="77">
      <c r="A77" s="13" t="inlineStr">
        <is>
          <t>R</t>
        </is>
      </c>
      <c r="B77" s="7" t="inlineStr">
        <is>
          <t>昨日 Pickup</t>
        </is>
      </c>
      <c r="C77" s="13" t="inlineStr">
        <is>
          <t>输入</t>
        </is>
      </c>
      <c r="D77" s="7" t="inlineStr">
        <is>
          <t>净增预订房晚</t>
        </is>
      </c>
      <c r="E77" s="7" t="inlineStr">
        <is>
          <t>取自 02_Pickup 追踪表</t>
        </is>
      </c>
    </row>
    <row r="78">
      <c r="A78" s="13" t="inlineStr">
        <is>
          <t>S-U</t>
        </is>
      </c>
      <c r="B78" s="7" t="inlineStr">
        <is>
          <t>本月累计 OCC/ADR/RevPAR</t>
        </is>
      </c>
      <c r="C78" s="13" t="inlineStr">
        <is>
          <t>公式</t>
        </is>
      </c>
      <c r="D78" s="7" t="inlineStr">
        <is>
          <t>SUMIFS（按 A 列归月）</t>
        </is>
      </c>
      <c r="E78" s="7" t="n"/>
    </row>
    <row r="79">
      <c r="A79" s="13" t="inlineStr">
        <is>
          <t>V-X</t>
        </is>
      </c>
      <c r="B79" s="7" t="inlineStr">
        <is>
          <t>预算 OCC/ADR/RevPAR</t>
        </is>
      </c>
      <c r="C79" s="13" t="inlineStr">
        <is>
          <t>公式</t>
        </is>
      </c>
      <c r="D79" s="7" t="inlineStr">
        <is>
          <t>INDEX(数据字典!$B$5:$B$16,MONTH(A))</t>
        </is>
      </c>
      <c r="E79" s="7" t="inlineStr">
        <is>
          <t>SPEC 2.5 月度基准</t>
        </is>
      </c>
    </row>
    <row r="80">
      <c r="A80" s="13" t="inlineStr">
        <is>
          <t>Y-AA</t>
        </is>
      </c>
      <c r="B80" s="7" t="inlineStr">
        <is>
          <t>达成率 OCC/ADR/RevPAR</t>
        </is>
      </c>
      <c r="C80" s="13" t="inlineStr">
        <is>
          <t>公式</t>
        </is>
      </c>
      <c r="D80" s="7" t="inlineStr">
        <is>
          <t>实际 ÷ 预算</t>
        </is>
      </c>
      <c r="E80" s="7" t="inlineStr">
        <is>
          <t>≥100% 达标</t>
        </is>
      </c>
    </row>
  </sheetData>
  <mergeCells count="8">
    <mergeCell ref="A39:E39"/>
    <mergeCell ref="A2:E2"/>
    <mergeCell ref="A28:E28"/>
    <mergeCell ref="A63:E63"/>
    <mergeCell ref="A1:E1"/>
    <mergeCell ref="A56:E56"/>
    <mergeCell ref="A18:E18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2026-09-03T23:54:19Z</dcterms:created>
  <dcterms:modified xmlns:dcterms="http://purl.org/dc/terms/" xmlns:xsi="http://www.w3.org/2001/XMLSchema-instance" xsi:type="dcterms:W3CDTF">2026-09-03T23:54:19Z</dcterms:modified>
</cp:coreProperties>
</file>